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. Неделчев\Documents\Godishni planove\2024_GodishniPlanove\Начален\10_SCDP_Gabrovo\Сайт\"/>
    </mc:Choice>
  </mc:AlternateContent>
  <xr:revisionPtr revIDLastSave="0" documentId="13_ncr:1_{84B5DABC-D358-4B4F-8C57-4FBC304BAB9F}" xr6:coauthVersionLast="47" xr6:coauthVersionMax="47" xr10:uidLastSave="{00000000-0000-0000-0000-000000000000}"/>
  <bookViews>
    <workbookView xWindow="-108" yWindow="-108" windowWidth="23256" windowHeight="12576" tabRatio="752" firstSheet="1" activeTab="13" xr2:uid="{00000000-000D-0000-FFFF-FFFF00000000}"/>
  </bookViews>
  <sheets>
    <sheet name="SCDP" sheetId="25" r:id="rId1"/>
    <sheet name="Bolqrka" sheetId="3" r:id="rId2"/>
    <sheet name="Bujnovci" sheetId="7" r:id="rId3"/>
    <sheet name="Gabrovo" sheetId="19" r:id="rId4"/>
    <sheet name="Gorn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</sheets>
  <externalReferences>
    <externalReference r:id="rId19"/>
  </externalReferences>
  <definedNames>
    <definedName name="aw" localSheetId="0">SCDP!$A$1:$AW$40</definedName>
    <definedName name="_xlnm.Print_Area" localSheetId="0">SCDP!$A$1:$AW$40</definedName>
    <definedName name="_xlnm.Print_Area" localSheetId="17">Voden!$A$1:$AQ$41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3" l="1"/>
  <c r="AD14" i="13" l="1"/>
  <c r="AQ40" i="5" l="1"/>
  <c r="AP40" i="5"/>
  <c r="AO40" i="5"/>
  <c r="AN40" i="5"/>
  <c r="AM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H40" i="5"/>
  <c r="G40" i="5"/>
  <c r="AM39" i="5"/>
  <c r="AD39" i="5"/>
  <c r="AD40" i="5" s="1"/>
  <c r="U39" i="5"/>
  <c r="U40" i="5" s="1"/>
  <c r="M39" i="5"/>
  <c r="M40" i="5" s="1"/>
  <c r="H39" i="5"/>
  <c r="D39" i="5" s="1"/>
  <c r="G39" i="5"/>
  <c r="F39" i="5"/>
  <c r="F40" i="5" s="1"/>
  <c r="E39" i="5"/>
  <c r="C39" i="5"/>
  <c r="C40" i="5" s="1"/>
  <c r="B39" i="5"/>
  <c r="B40" i="5" s="1"/>
  <c r="AM38" i="5"/>
  <c r="AD38" i="5"/>
  <c r="U38" i="5"/>
  <c r="M38" i="5"/>
  <c r="H38" i="5"/>
  <c r="G38" i="5"/>
  <c r="F38" i="5"/>
  <c r="E38" i="5"/>
  <c r="D38" i="5" s="1"/>
  <c r="C38" i="5"/>
  <c r="B38" i="5"/>
  <c r="AQ37" i="5"/>
  <c r="AP37" i="5"/>
  <c r="AO37" i="5"/>
  <c r="AN37" i="5"/>
  <c r="AM37" i="5"/>
  <c r="AL37" i="5"/>
  <c r="AK37" i="5"/>
  <c r="AH37" i="5"/>
  <c r="AG37" i="5"/>
  <c r="AF37" i="5"/>
  <c r="AE37" i="5"/>
  <c r="AD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H37" i="5"/>
  <c r="AM36" i="5"/>
  <c r="U36" i="5"/>
  <c r="U37" i="5" s="1"/>
  <c r="M36" i="5"/>
  <c r="M37" i="5" s="1"/>
  <c r="H36" i="5"/>
  <c r="G36" i="5"/>
  <c r="D36" i="5" s="1"/>
  <c r="F36" i="5"/>
  <c r="E36" i="5"/>
  <c r="C36" i="5"/>
  <c r="C37" i="5" s="1"/>
  <c r="B36" i="5"/>
  <c r="B37" i="5" s="1"/>
  <c r="AM35" i="5"/>
  <c r="AD35" i="5"/>
  <c r="U35" i="5"/>
  <c r="M35" i="5"/>
  <c r="H35" i="5"/>
  <c r="G35" i="5"/>
  <c r="F35" i="5"/>
  <c r="F37" i="5" s="1"/>
  <c r="E35" i="5"/>
  <c r="E37" i="5" s="1"/>
  <c r="C35" i="5"/>
  <c r="B35" i="5"/>
  <c r="AQ34" i="5"/>
  <c r="AP34" i="5"/>
  <c r="AO34" i="5"/>
  <c r="AN34" i="5"/>
  <c r="AM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U34" i="5"/>
  <c r="T34" i="5"/>
  <c r="S34" i="5"/>
  <c r="Q34" i="5"/>
  <c r="P34" i="5"/>
  <c r="O34" i="5"/>
  <c r="N34" i="5"/>
  <c r="L34" i="5"/>
  <c r="K34" i="5"/>
  <c r="H34" i="5"/>
  <c r="B34" i="5"/>
  <c r="AM33" i="5"/>
  <c r="AD33" i="5"/>
  <c r="AD34" i="5" s="1"/>
  <c r="U33" i="5"/>
  <c r="M33" i="5"/>
  <c r="M34" i="5" s="1"/>
  <c r="H33" i="5"/>
  <c r="G33" i="5"/>
  <c r="G34" i="5" s="1"/>
  <c r="F33" i="5"/>
  <c r="E33" i="5"/>
  <c r="E34" i="5" s="1"/>
  <c r="D33" i="5"/>
  <c r="C33" i="5"/>
  <c r="C34" i="5" s="1"/>
  <c r="B33" i="5"/>
  <c r="AM32" i="5"/>
  <c r="AD32" i="5"/>
  <c r="AD20" i="5" s="1"/>
  <c r="AD9" i="5" s="1"/>
  <c r="U32" i="5"/>
  <c r="M32" i="5"/>
  <c r="H32" i="5"/>
  <c r="G32" i="5"/>
  <c r="F32" i="5"/>
  <c r="F34" i="5" s="1"/>
  <c r="E32" i="5"/>
  <c r="C32" i="5"/>
  <c r="B32" i="5"/>
  <c r="AQ31" i="5"/>
  <c r="AP31" i="5"/>
  <c r="AO31" i="5"/>
  <c r="AN31" i="5"/>
  <c r="AL31" i="5"/>
  <c r="AK31" i="5"/>
  <c r="AH31" i="5"/>
  <c r="AG31" i="5"/>
  <c r="AF31" i="5"/>
  <c r="AE31" i="5"/>
  <c r="AD31" i="5"/>
  <c r="AC31" i="5"/>
  <c r="AB31" i="5"/>
  <c r="Y31" i="5"/>
  <c r="X31" i="5"/>
  <c r="W31" i="5"/>
  <c r="V31" i="5"/>
  <c r="U31" i="5"/>
  <c r="T31" i="5"/>
  <c r="S31" i="5"/>
  <c r="Q31" i="5"/>
  <c r="P31" i="5"/>
  <c r="O31" i="5"/>
  <c r="N31" i="5"/>
  <c r="L31" i="5"/>
  <c r="K31" i="5"/>
  <c r="C31" i="5"/>
  <c r="B31" i="5"/>
  <c r="AM30" i="5"/>
  <c r="AM31" i="5" s="1"/>
  <c r="AD30" i="5"/>
  <c r="U30" i="5"/>
  <c r="M30" i="5"/>
  <c r="M31" i="5" s="1"/>
  <c r="H30" i="5"/>
  <c r="H31" i="5" s="1"/>
  <c r="G30" i="5"/>
  <c r="F30" i="5"/>
  <c r="F31" i="5" s="1"/>
  <c r="E30" i="5"/>
  <c r="E31" i="5" s="1"/>
  <c r="D30" i="5"/>
  <c r="C30" i="5"/>
  <c r="B30" i="5"/>
  <c r="AM29" i="5"/>
  <c r="AD29" i="5"/>
  <c r="U29" i="5"/>
  <c r="M29" i="5"/>
  <c r="H29" i="5"/>
  <c r="G29" i="5"/>
  <c r="G31" i="5" s="1"/>
  <c r="F29" i="5"/>
  <c r="E29" i="5"/>
  <c r="D29" i="5" s="1"/>
  <c r="C29" i="5"/>
  <c r="B29" i="5"/>
  <c r="AQ28" i="5"/>
  <c r="AP28" i="5"/>
  <c r="AO28" i="5"/>
  <c r="AN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U28" i="5"/>
  <c r="T28" i="5"/>
  <c r="S28" i="5"/>
  <c r="P28" i="5"/>
  <c r="O28" i="5"/>
  <c r="N28" i="5"/>
  <c r="L28" i="5"/>
  <c r="K28" i="5"/>
  <c r="F28" i="5"/>
  <c r="C28" i="5"/>
  <c r="AM27" i="5"/>
  <c r="AM28" i="5" s="1"/>
  <c r="AD27" i="5"/>
  <c r="AD28" i="5" s="1"/>
  <c r="U27" i="5"/>
  <c r="M27" i="5"/>
  <c r="M21" i="5" s="1"/>
  <c r="H27" i="5"/>
  <c r="H28" i="5" s="1"/>
  <c r="G27" i="5"/>
  <c r="F27" i="5"/>
  <c r="E27" i="5"/>
  <c r="E28" i="5" s="1"/>
  <c r="D27" i="5"/>
  <c r="D28" i="5" s="1"/>
  <c r="C27" i="5"/>
  <c r="B27" i="5"/>
  <c r="B28" i="5" s="1"/>
  <c r="AM26" i="5"/>
  <c r="AD26" i="5"/>
  <c r="U26" i="5"/>
  <c r="M26" i="5"/>
  <c r="H26" i="5"/>
  <c r="G26" i="5"/>
  <c r="G28" i="5" s="1"/>
  <c r="F26" i="5"/>
  <c r="E26" i="5"/>
  <c r="D26" i="5" s="1"/>
  <c r="C26" i="5"/>
  <c r="B26" i="5"/>
  <c r="AQ25" i="5"/>
  <c r="AP25" i="5"/>
  <c r="AO25" i="5"/>
  <c r="AN25" i="5"/>
  <c r="AM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U25" i="5"/>
  <c r="T25" i="5"/>
  <c r="S25" i="5"/>
  <c r="Q25" i="5"/>
  <c r="P25" i="5"/>
  <c r="O25" i="5"/>
  <c r="N25" i="5"/>
  <c r="L25" i="5"/>
  <c r="K25" i="5"/>
  <c r="G25" i="5"/>
  <c r="B25" i="5"/>
  <c r="AM24" i="5"/>
  <c r="AD24" i="5"/>
  <c r="AD21" i="5" s="1"/>
  <c r="U24" i="5"/>
  <c r="U21" i="5" s="1"/>
  <c r="M24" i="5"/>
  <c r="H24" i="5"/>
  <c r="G24" i="5"/>
  <c r="F24" i="5"/>
  <c r="F25" i="5" s="1"/>
  <c r="E24" i="5"/>
  <c r="E25" i="5" s="1"/>
  <c r="C24" i="5"/>
  <c r="C21" i="5" s="1"/>
  <c r="B24" i="5"/>
  <c r="B21" i="5" s="1"/>
  <c r="B22" i="5" s="1"/>
  <c r="AM23" i="5"/>
  <c r="AD23" i="5"/>
  <c r="U23" i="5"/>
  <c r="M23" i="5"/>
  <c r="M25" i="5" s="1"/>
  <c r="H23" i="5"/>
  <c r="H25" i="5" s="1"/>
  <c r="G23" i="5"/>
  <c r="F23" i="5"/>
  <c r="F20" i="5" s="1"/>
  <c r="F9" i="5" s="1"/>
  <c r="E23" i="5"/>
  <c r="D23" i="5" s="1"/>
  <c r="C23" i="5"/>
  <c r="B23" i="5"/>
  <c r="AQ22" i="5"/>
  <c r="AP22" i="5"/>
  <c r="AN22" i="5"/>
  <c r="AF22" i="5"/>
  <c r="V22" i="5"/>
  <c r="T22" i="5"/>
  <c r="K22" i="5"/>
  <c r="AH21" i="5"/>
  <c r="AH22" i="5" s="1"/>
  <c r="AG21" i="5"/>
  <c r="AG22" i="5" s="1"/>
  <c r="AF21" i="5"/>
  <c r="AE21" i="5"/>
  <c r="AE22" i="5" s="1"/>
  <c r="AC21" i="5"/>
  <c r="AC10" i="5" s="1"/>
  <c r="AB21" i="5"/>
  <c r="AB22" i="5" s="1"/>
  <c r="Y21" i="5"/>
  <c r="Y22" i="5" s="1"/>
  <c r="X21" i="5"/>
  <c r="X22" i="5" s="1"/>
  <c r="W21" i="5"/>
  <c r="W22" i="5" s="1"/>
  <c r="V21" i="5"/>
  <c r="T21" i="5"/>
  <c r="T10" i="5" s="1"/>
  <c r="T11" i="5" s="1"/>
  <c r="S21" i="5"/>
  <c r="S10" i="5" s="1"/>
  <c r="Q21" i="5"/>
  <c r="Q22" i="5" s="1"/>
  <c r="P21" i="5"/>
  <c r="P22" i="5" s="1"/>
  <c r="O21" i="5"/>
  <c r="O22" i="5" s="1"/>
  <c r="N21" i="5"/>
  <c r="N22" i="5" s="1"/>
  <c r="L21" i="5"/>
  <c r="L22" i="5" s="1"/>
  <c r="K21" i="5"/>
  <c r="K10" i="5" s="1"/>
  <c r="K11" i="5" s="1"/>
  <c r="H21" i="5"/>
  <c r="H10" i="5" s="1"/>
  <c r="G21" i="5"/>
  <c r="G22" i="5" s="1"/>
  <c r="AQ20" i="5"/>
  <c r="AQ9" i="5" s="1"/>
  <c r="AP20" i="5"/>
  <c r="AP9" i="5" s="1"/>
  <c r="AO20" i="5"/>
  <c r="AO9" i="5" s="1"/>
  <c r="AN20" i="5"/>
  <c r="AM20" i="5"/>
  <c r="AM22" i="5" s="1"/>
  <c r="AL20" i="5"/>
  <c r="AL22" i="5" s="1"/>
  <c r="AK20" i="5"/>
  <c r="AK22" i="5" s="1"/>
  <c r="AH20" i="5"/>
  <c r="AG20" i="5"/>
  <c r="AG9" i="5" s="1"/>
  <c r="AF20" i="5"/>
  <c r="AF9" i="5" s="1"/>
  <c r="AE20" i="5"/>
  <c r="AE9" i="5" s="1"/>
  <c r="AC20" i="5"/>
  <c r="AC22" i="5" s="1"/>
  <c r="AB20" i="5"/>
  <c r="AB9" i="5" s="1"/>
  <c r="Y20" i="5"/>
  <c r="X20" i="5"/>
  <c r="W20" i="5"/>
  <c r="W9" i="5" s="1"/>
  <c r="V20" i="5"/>
  <c r="V9" i="5" s="1"/>
  <c r="U20" i="5"/>
  <c r="U9" i="5" s="1"/>
  <c r="T20" i="5"/>
  <c r="S20" i="5"/>
  <c r="S22" i="5" s="1"/>
  <c r="Q20" i="5"/>
  <c r="Q9" i="5" s="1"/>
  <c r="P20" i="5"/>
  <c r="O20" i="5"/>
  <c r="N20" i="5"/>
  <c r="N9" i="5" s="1"/>
  <c r="M20" i="5"/>
  <c r="L20" i="5"/>
  <c r="L9" i="5" s="1"/>
  <c r="K20" i="5"/>
  <c r="G20" i="5"/>
  <c r="G9" i="5" s="1"/>
  <c r="C20" i="5"/>
  <c r="C9" i="5" s="1"/>
  <c r="B20" i="5"/>
  <c r="B9" i="5" s="1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L15" i="5"/>
  <c r="AK15" i="5"/>
  <c r="AH15" i="5"/>
  <c r="AG15" i="5"/>
  <c r="AF15" i="5"/>
  <c r="AE15" i="5"/>
  <c r="AD15" i="5"/>
  <c r="AC15" i="5"/>
  <c r="AB15" i="5"/>
  <c r="Y15" i="5"/>
  <c r="X15" i="5"/>
  <c r="W15" i="5"/>
  <c r="V15" i="5"/>
  <c r="U15" i="5"/>
  <c r="T15" i="5"/>
  <c r="S15" i="5"/>
  <c r="Q15" i="5"/>
  <c r="P15" i="5"/>
  <c r="O15" i="5"/>
  <c r="N15" i="5"/>
  <c r="L15" i="5"/>
  <c r="K15" i="5"/>
  <c r="AM14" i="5"/>
  <c r="AM15" i="5" s="1"/>
  <c r="AD14" i="5"/>
  <c r="H14" i="5"/>
  <c r="H15" i="5" s="1"/>
  <c r="G14" i="5"/>
  <c r="G15" i="5" s="1"/>
  <c r="F14" i="5"/>
  <c r="F15" i="5" s="1"/>
  <c r="E14" i="5"/>
  <c r="E15" i="5" s="1"/>
  <c r="C14" i="5"/>
  <c r="C15" i="5" s="1"/>
  <c r="B14" i="5"/>
  <c r="AM13" i="5"/>
  <c r="AD13" i="5"/>
  <c r="U13" i="5"/>
  <c r="M13" i="5"/>
  <c r="M9" i="5" s="1"/>
  <c r="H13" i="5"/>
  <c r="G13" i="5"/>
  <c r="F13" i="5"/>
  <c r="E13" i="5"/>
  <c r="D13" i="5" s="1"/>
  <c r="C13" i="5"/>
  <c r="B13" i="5"/>
  <c r="AQ10" i="5"/>
  <c r="AP10" i="5"/>
  <c r="AP11" i="5" s="1"/>
  <c r="AO10" i="5"/>
  <c r="AO11" i="5" s="1"/>
  <c r="AN10" i="5"/>
  <c r="AL10" i="5"/>
  <c r="AK10" i="5"/>
  <c r="AK11" i="5" s="1"/>
  <c r="AG10" i="5"/>
  <c r="AF10" i="5"/>
  <c r="AF11" i="5" s="1"/>
  <c r="AE10" i="5"/>
  <c r="Y10" i="5"/>
  <c r="Y11" i="5" s="1"/>
  <c r="W10" i="5"/>
  <c r="W11" i="5" s="1"/>
  <c r="V10" i="5"/>
  <c r="P10" i="5"/>
  <c r="P11" i="5" s="1"/>
  <c r="L10" i="5"/>
  <c r="L11" i="5" s="1"/>
  <c r="AN9" i="5"/>
  <c r="AN11" i="5" s="1"/>
  <c r="AK9" i="5"/>
  <c r="AH9" i="5"/>
  <c r="Y9" i="5"/>
  <c r="X9" i="5"/>
  <c r="T9" i="5"/>
  <c r="P9" i="5"/>
  <c r="O9" i="5"/>
  <c r="K9" i="5"/>
  <c r="U10" i="5" l="1"/>
  <c r="U11" i="5" s="1"/>
  <c r="U22" i="5"/>
  <c r="D40" i="5"/>
  <c r="AL11" i="5"/>
  <c r="H9" i="5"/>
  <c r="H11" i="5" s="1"/>
  <c r="AC11" i="5"/>
  <c r="B10" i="5"/>
  <c r="B11" i="5" s="1"/>
  <c r="V11" i="5"/>
  <c r="AD10" i="5"/>
  <c r="AD11" i="5" s="1"/>
  <c r="AD22" i="5"/>
  <c r="AE11" i="5"/>
  <c r="AQ11" i="5"/>
  <c r="C22" i="5"/>
  <c r="C10" i="5"/>
  <c r="C11" i="5" s="1"/>
  <c r="D31" i="5"/>
  <c r="M22" i="5"/>
  <c r="M10" i="5"/>
  <c r="M11" i="5" s="1"/>
  <c r="AG11" i="5"/>
  <c r="AL9" i="5"/>
  <c r="N10" i="5"/>
  <c r="N11" i="5" s="1"/>
  <c r="B15" i="5"/>
  <c r="H20" i="5"/>
  <c r="H22" i="5" s="1"/>
  <c r="E21" i="5"/>
  <c r="E22" i="5" s="1"/>
  <c r="D32" i="5"/>
  <c r="D20" i="5" s="1"/>
  <c r="D9" i="5" s="1"/>
  <c r="E40" i="5"/>
  <c r="S9" i="5"/>
  <c r="S11" i="5" s="1"/>
  <c r="AC9" i="5"/>
  <c r="AM9" i="5"/>
  <c r="O10" i="5"/>
  <c r="O11" i="5" s="1"/>
  <c r="X10" i="5"/>
  <c r="X11" i="5" s="1"/>
  <c r="AH10" i="5"/>
  <c r="AH11" i="5" s="1"/>
  <c r="D14" i="5"/>
  <c r="M15" i="5"/>
  <c r="F21" i="5"/>
  <c r="AO22" i="5"/>
  <c r="D24" i="5"/>
  <c r="AD25" i="5"/>
  <c r="D35" i="5"/>
  <c r="D37" i="5" s="1"/>
  <c r="G37" i="5"/>
  <c r="Q10" i="5"/>
  <c r="Q11" i="5" s="1"/>
  <c r="AB10" i="5"/>
  <c r="AB11" i="5" s="1"/>
  <c r="C25" i="5"/>
  <c r="E20" i="5"/>
  <c r="G10" i="5"/>
  <c r="G11" i="5" s="1"/>
  <c r="AM10" i="5"/>
  <c r="AM11" i="5" s="1"/>
  <c r="M28" i="5"/>
  <c r="E9" i="5"/>
  <c r="D15" i="5" l="1"/>
  <c r="D34" i="5"/>
  <c r="D25" i="5"/>
  <c r="D21" i="5"/>
  <c r="D22" i="5" s="1"/>
  <c r="E10" i="5"/>
  <c r="E11" i="5" s="1"/>
  <c r="F22" i="5"/>
  <c r="F10" i="5"/>
  <c r="F11" i="5" s="1"/>
  <c r="D10" i="5" l="1"/>
  <c r="D11" i="5" s="1"/>
  <c r="AQ40" i="7" l="1"/>
  <c r="AP40" i="7"/>
  <c r="AO40" i="7"/>
  <c r="AM40" i="7"/>
  <c r="AL40" i="7"/>
  <c r="AK40" i="7"/>
  <c r="AH40" i="7"/>
  <c r="AG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E40" i="7"/>
  <c r="AM39" i="7"/>
  <c r="AD39" i="7"/>
  <c r="AD40" i="7" s="1"/>
  <c r="U39" i="7"/>
  <c r="U40" i="7" s="1"/>
  <c r="M39" i="7"/>
  <c r="M40" i="7" s="1"/>
  <c r="H39" i="7"/>
  <c r="H40" i="7" s="1"/>
  <c r="G39" i="7"/>
  <c r="G40" i="7" s="1"/>
  <c r="F39" i="7"/>
  <c r="E39" i="7"/>
  <c r="D39" i="7" s="1"/>
  <c r="C39" i="7"/>
  <c r="C40" i="7" s="1"/>
  <c r="B39" i="7"/>
  <c r="B40" i="7" s="1"/>
  <c r="H38" i="7"/>
  <c r="G38" i="7"/>
  <c r="F38" i="7"/>
  <c r="D38" i="7" s="1"/>
  <c r="E38" i="7"/>
  <c r="C38" i="7"/>
  <c r="B38" i="7"/>
  <c r="Y37" i="7"/>
  <c r="X37" i="7"/>
  <c r="W37" i="7"/>
  <c r="U37" i="7"/>
  <c r="T37" i="7"/>
  <c r="S37" i="7"/>
  <c r="E37" i="7"/>
  <c r="C37" i="7"/>
  <c r="AM36" i="7"/>
  <c r="AD36" i="7"/>
  <c r="U36" i="7"/>
  <c r="M36" i="7"/>
  <c r="M21" i="7" s="1"/>
  <c r="M22" i="7" s="1"/>
  <c r="H36" i="7"/>
  <c r="H37" i="7" s="1"/>
  <c r="G36" i="7"/>
  <c r="G37" i="7" s="1"/>
  <c r="F36" i="7"/>
  <c r="D36" i="7" s="1"/>
  <c r="D37" i="7" s="1"/>
  <c r="E36" i="7"/>
  <c r="C36" i="7"/>
  <c r="B36" i="7"/>
  <c r="B37" i="7" s="1"/>
  <c r="AM35" i="7"/>
  <c r="H35" i="7"/>
  <c r="G35" i="7"/>
  <c r="F35" i="7"/>
  <c r="D35" i="7" s="1"/>
  <c r="E35" i="7"/>
  <c r="C35" i="7"/>
  <c r="B35" i="7"/>
  <c r="E34" i="7"/>
  <c r="AM33" i="7"/>
  <c r="AD33" i="7"/>
  <c r="U33" i="7"/>
  <c r="M33" i="7"/>
  <c r="H33" i="7"/>
  <c r="D33" i="7" s="1"/>
  <c r="G33" i="7"/>
  <c r="F33" i="7"/>
  <c r="E33" i="7"/>
  <c r="C33" i="7"/>
  <c r="C34" i="7" s="1"/>
  <c r="B33" i="7"/>
  <c r="B34" i="7" s="1"/>
  <c r="AM32" i="7"/>
  <c r="AD32" i="7"/>
  <c r="AD20" i="7" s="1"/>
  <c r="AD9" i="7" s="1"/>
  <c r="U32" i="7"/>
  <c r="M32" i="7"/>
  <c r="H32" i="7"/>
  <c r="G32" i="7"/>
  <c r="G34" i="7" s="1"/>
  <c r="F32" i="7"/>
  <c r="F34" i="7" s="1"/>
  <c r="E32" i="7"/>
  <c r="C32" i="7"/>
  <c r="B32" i="7"/>
  <c r="Y31" i="7"/>
  <c r="X31" i="7"/>
  <c r="W31" i="7"/>
  <c r="V31" i="7"/>
  <c r="T31" i="7"/>
  <c r="S31" i="7"/>
  <c r="Q31" i="7"/>
  <c r="P31" i="7"/>
  <c r="O31" i="7"/>
  <c r="M31" i="7"/>
  <c r="L31" i="7"/>
  <c r="K31" i="7"/>
  <c r="H31" i="7"/>
  <c r="G31" i="7"/>
  <c r="AM30" i="7"/>
  <c r="AD30" i="7"/>
  <c r="U30" i="7"/>
  <c r="U31" i="7" s="1"/>
  <c r="M30" i="7"/>
  <c r="H30" i="7"/>
  <c r="G30" i="7"/>
  <c r="F30" i="7"/>
  <c r="F31" i="7" s="1"/>
  <c r="E30" i="7"/>
  <c r="E31" i="7" s="1"/>
  <c r="C30" i="7"/>
  <c r="C31" i="7" s="1"/>
  <c r="B30" i="7"/>
  <c r="B31" i="7" s="1"/>
  <c r="H29" i="7"/>
  <c r="G29" i="7"/>
  <c r="F29" i="7"/>
  <c r="E29" i="7"/>
  <c r="D29" i="7"/>
  <c r="C29" i="7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E28" i="7"/>
  <c r="AM27" i="7"/>
  <c r="AM28" i="7" s="1"/>
  <c r="AD27" i="7"/>
  <c r="AD21" i="7" s="1"/>
  <c r="U27" i="7"/>
  <c r="U28" i="7" s="1"/>
  <c r="M27" i="7"/>
  <c r="M28" i="7" s="1"/>
  <c r="H27" i="7"/>
  <c r="H21" i="7" s="1"/>
  <c r="H22" i="7" s="1"/>
  <c r="G27" i="7"/>
  <c r="G28" i="7" s="1"/>
  <c r="F27" i="7"/>
  <c r="E27" i="7"/>
  <c r="D27" i="7" s="1"/>
  <c r="D28" i="7" s="1"/>
  <c r="C27" i="7"/>
  <c r="C28" i="7" s="1"/>
  <c r="B27" i="7"/>
  <c r="B28" i="7" s="1"/>
  <c r="H26" i="7"/>
  <c r="G26" i="7"/>
  <c r="F26" i="7"/>
  <c r="D26" i="7" s="1"/>
  <c r="E26" i="7"/>
  <c r="C26" i="7"/>
  <c r="B26" i="7"/>
  <c r="B20" i="7" s="1"/>
  <c r="B9" i="7" s="1"/>
  <c r="AQ25" i="7"/>
  <c r="AP25" i="7"/>
  <c r="AO25" i="7"/>
  <c r="AL25" i="7"/>
  <c r="AK25" i="7"/>
  <c r="Y25" i="7"/>
  <c r="X25" i="7"/>
  <c r="W25" i="7"/>
  <c r="V25" i="7"/>
  <c r="U25" i="7"/>
  <c r="T25" i="7"/>
  <c r="S25" i="7"/>
  <c r="Q25" i="7"/>
  <c r="P25" i="7"/>
  <c r="O25" i="7"/>
  <c r="N25" i="7"/>
  <c r="M25" i="7"/>
  <c r="L25" i="7"/>
  <c r="K25" i="7"/>
  <c r="B25" i="7"/>
  <c r="AM24" i="7"/>
  <c r="AM25" i="7" s="1"/>
  <c r="AD24" i="7"/>
  <c r="U24" i="7"/>
  <c r="M24" i="7"/>
  <c r="H24" i="7"/>
  <c r="H25" i="7" s="1"/>
  <c r="G24" i="7"/>
  <c r="G25" i="7" s="1"/>
  <c r="F24" i="7"/>
  <c r="F25" i="7" s="1"/>
  <c r="E24" i="7"/>
  <c r="E25" i="7" s="1"/>
  <c r="D24" i="7"/>
  <c r="D25" i="7" s="1"/>
  <c r="C24" i="7"/>
  <c r="B24" i="7"/>
  <c r="H23" i="7"/>
  <c r="G23" i="7"/>
  <c r="G20" i="7" s="1"/>
  <c r="G9" i="7" s="1"/>
  <c r="F23" i="7"/>
  <c r="D23" i="7" s="1"/>
  <c r="E23" i="7"/>
  <c r="C23" i="7"/>
  <c r="C20" i="7" s="1"/>
  <c r="B23" i="7"/>
  <c r="AQ22" i="7"/>
  <c r="AO22" i="7"/>
  <c r="AH21" i="7"/>
  <c r="AH10" i="7" s="1"/>
  <c r="AG21" i="7"/>
  <c r="AG22" i="7" s="1"/>
  <c r="AF21" i="7"/>
  <c r="AF22" i="7" s="1"/>
  <c r="AE21" i="7"/>
  <c r="AE22" i="7" s="1"/>
  <c r="AC21" i="7"/>
  <c r="AC10" i="7" s="1"/>
  <c r="AB21" i="7"/>
  <c r="Y21" i="7"/>
  <c r="X21" i="7"/>
  <c r="X10" i="7" s="1"/>
  <c r="W21" i="7"/>
  <c r="W22" i="7" s="1"/>
  <c r="V21" i="7"/>
  <c r="V22" i="7" s="1"/>
  <c r="U21" i="7"/>
  <c r="U22" i="7" s="1"/>
  <c r="T21" i="7"/>
  <c r="S21" i="7"/>
  <c r="S10" i="7" s="1"/>
  <c r="Q21" i="7"/>
  <c r="P21" i="7"/>
  <c r="O21" i="7"/>
  <c r="O10" i="7" s="1"/>
  <c r="O11" i="7" s="1"/>
  <c r="N21" i="7"/>
  <c r="N22" i="7" s="1"/>
  <c r="L21" i="7"/>
  <c r="L22" i="7" s="1"/>
  <c r="K21" i="7"/>
  <c r="E21" i="7"/>
  <c r="E10" i="7" s="1"/>
  <c r="B21" i="7"/>
  <c r="AQ20" i="7"/>
  <c r="AP20" i="7"/>
  <c r="AP22" i="7" s="1"/>
  <c r="AO20" i="7"/>
  <c r="AN20" i="7"/>
  <c r="AM20" i="7"/>
  <c r="AL20" i="7"/>
  <c r="AL22" i="7" s="1"/>
  <c r="AK20" i="7"/>
  <c r="AK9" i="7" s="1"/>
  <c r="AH20" i="7"/>
  <c r="AH22" i="7" s="1"/>
  <c r="AG20" i="7"/>
  <c r="AF20" i="7"/>
  <c r="AF9" i="7" s="1"/>
  <c r="AE20" i="7"/>
  <c r="AC20" i="7"/>
  <c r="AC9" i="7" s="1"/>
  <c r="AB20" i="7"/>
  <c r="AB22" i="7" s="1"/>
  <c r="Y20" i="7"/>
  <c r="Y9" i="7" s="1"/>
  <c r="X20" i="7"/>
  <c r="X22" i="7" s="1"/>
  <c r="W20" i="7"/>
  <c r="V20" i="7"/>
  <c r="V9" i="7" s="1"/>
  <c r="U20" i="7"/>
  <c r="T20" i="7"/>
  <c r="T22" i="7" s="1"/>
  <c r="S20" i="7"/>
  <c r="S9" i="7" s="1"/>
  <c r="Q20" i="7"/>
  <c r="Q22" i="7" s="1"/>
  <c r="P20" i="7"/>
  <c r="P9" i="7" s="1"/>
  <c r="O20" i="7"/>
  <c r="O9" i="7" s="1"/>
  <c r="N20" i="7"/>
  <c r="M20" i="7"/>
  <c r="M9" i="7" s="1"/>
  <c r="L20" i="7"/>
  <c r="K20" i="7"/>
  <c r="K22" i="7" s="1"/>
  <c r="H20" i="7"/>
  <c r="E20" i="7"/>
  <c r="E9" i="7" s="1"/>
  <c r="AM18" i="7"/>
  <c r="AD18" i="7"/>
  <c r="U18" i="7"/>
  <c r="M18" i="7"/>
  <c r="H18" i="7"/>
  <c r="D18" i="7" s="1"/>
  <c r="G18" i="7"/>
  <c r="F18" i="7"/>
  <c r="E18" i="7"/>
  <c r="C18" i="7"/>
  <c r="B18" i="7"/>
  <c r="AM17" i="7"/>
  <c r="AD17" i="7"/>
  <c r="U17" i="7"/>
  <c r="M17" i="7"/>
  <c r="H17" i="7"/>
  <c r="G17" i="7"/>
  <c r="F17" i="7"/>
  <c r="D17" i="7" s="1"/>
  <c r="E17" i="7"/>
  <c r="C17" i="7"/>
  <c r="B17" i="7"/>
  <c r="AM16" i="7"/>
  <c r="AD16" i="7"/>
  <c r="U16" i="7"/>
  <c r="M16" i="7"/>
  <c r="H16" i="7"/>
  <c r="G16" i="7"/>
  <c r="F16" i="7"/>
  <c r="D16" i="7" s="1"/>
  <c r="E16" i="7"/>
  <c r="C16" i="7"/>
  <c r="B16" i="7"/>
  <c r="AM15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G15" i="7"/>
  <c r="F15" i="7"/>
  <c r="E15" i="7"/>
  <c r="AM14" i="7"/>
  <c r="AD14" i="7"/>
  <c r="AD15" i="7" s="1"/>
  <c r="U14" i="7"/>
  <c r="U15" i="7" s="1"/>
  <c r="M14" i="7"/>
  <c r="M15" i="7" s="1"/>
  <c r="H14" i="7"/>
  <c r="H15" i="7" s="1"/>
  <c r="G14" i="7"/>
  <c r="F14" i="7"/>
  <c r="E14" i="7"/>
  <c r="C14" i="7"/>
  <c r="C15" i="7" s="1"/>
  <c r="B14" i="7"/>
  <c r="B15" i="7" s="1"/>
  <c r="AM13" i="7"/>
  <c r="AM9" i="7" s="1"/>
  <c r="H13" i="7"/>
  <c r="H9" i="7" s="1"/>
  <c r="G13" i="7"/>
  <c r="F13" i="7"/>
  <c r="E13" i="7"/>
  <c r="C13" i="7"/>
  <c r="C9" i="7" s="1"/>
  <c r="B13" i="7"/>
  <c r="AQ10" i="7"/>
  <c r="AP10" i="7"/>
  <c r="AO10" i="7"/>
  <c r="AO11" i="7" s="1"/>
  <c r="AN10" i="7"/>
  <c r="AN11" i="7" s="1"/>
  <c r="AL10" i="7"/>
  <c r="AL11" i="7" s="1"/>
  <c r="AK10" i="7"/>
  <c r="AK11" i="7" s="1"/>
  <c r="AG10" i="7"/>
  <c r="AB10" i="7"/>
  <c r="AB11" i="7" s="1"/>
  <c r="Y10" i="7"/>
  <c r="Y11" i="7" s="1"/>
  <c r="W10" i="7"/>
  <c r="T10" i="7"/>
  <c r="T11" i="7" s="1"/>
  <c r="Q10" i="7"/>
  <c r="Q11" i="7" s="1"/>
  <c r="P10" i="7"/>
  <c r="P11" i="7" s="1"/>
  <c r="N10" i="7"/>
  <c r="K10" i="7"/>
  <c r="K11" i="7" s="1"/>
  <c r="AQ9" i="7"/>
  <c r="AQ11" i="7" s="1"/>
  <c r="AO9" i="7"/>
  <c r="AN9" i="7"/>
  <c r="AL9" i="7"/>
  <c r="AG9" i="7"/>
  <c r="AG11" i="7" s="1"/>
  <c r="AE9" i="7"/>
  <c r="AB9" i="7"/>
  <c r="W9" i="7"/>
  <c r="W11" i="7" s="1"/>
  <c r="U9" i="7"/>
  <c r="T9" i="7"/>
  <c r="Q9" i="7"/>
  <c r="N9" i="7"/>
  <c r="N11" i="7" s="1"/>
  <c r="L9" i="7"/>
  <c r="K9" i="7"/>
  <c r="F9" i="7" l="1"/>
  <c r="E11" i="7"/>
  <c r="X11" i="7"/>
  <c r="B22" i="7"/>
  <c r="S11" i="7"/>
  <c r="AC11" i="7"/>
  <c r="AD10" i="7"/>
  <c r="AD11" i="7" s="1"/>
  <c r="AD22" i="7"/>
  <c r="D40" i="7"/>
  <c r="E22" i="7"/>
  <c r="F20" i="7"/>
  <c r="C21" i="7"/>
  <c r="C22" i="7" s="1"/>
  <c r="P22" i="7"/>
  <c r="Y22" i="7"/>
  <c r="AK22" i="7"/>
  <c r="D32" i="7"/>
  <c r="D20" i="7" s="1"/>
  <c r="AP9" i="7"/>
  <c r="AP11" i="7" s="1"/>
  <c r="H10" i="7"/>
  <c r="H11" i="7" s="1"/>
  <c r="C25" i="7"/>
  <c r="F28" i="7"/>
  <c r="D30" i="7"/>
  <c r="D31" i="7" s="1"/>
  <c r="F40" i="7"/>
  <c r="H34" i="7"/>
  <c r="F37" i="7"/>
  <c r="B10" i="7"/>
  <c r="B11" i="7" s="1"/>
  <c r="O22" i="7"/>
  <c r="S22" i="7"/>
  <c r="X9" i="7"/>
  <c r="AH9" i="7"/>
  <c r="AH11" i="7" s="1"/>
  <c r="L10" i="7"/>
  <c r="L11" i="7" s="1"/>
  <c r="U10" i="7"/>
  <c r="U11" i="7" s="1"/>
  <c r="AE10" i="7"/>
  <c r="AE11" i="7" s="1"/>
  <c r="D13" i="7"/>
  <c r="D14" i="7"/>
  <c r="F21" i="7"/>
  <c r="AM21" i="7"/>
  <c r="AM22" i="7" s="1"/>
  <c r="H28" i="7"/>
  <c r="M10" i="7"/>
  <c r="M11" i="7" s="1"/>
  <c r="V10" i="7"/>
  <c r="V11" i="7" s="1"/>
  <c r="AF10" i="7"/>
  <c r="AF11" i="7" s="1"/>
  <c r="G21" i="7"/>
  <c r="AC22" i="7"/>
  <c r="F22" i="7" l="1"/>
  <c r="F10" i="7"/>
  <c r="F11" i="7" s="1"/>
  <c r="G22" i="7"/>
  <c r="G10" i="7"/>
  <c r="G11" i="7" s="1"/>
  <c r="D9" i="7"/>
  <c r="D15" i="7"/>
  <c r="D21" i="7"/>
  <c r="D22" i="7" s="1"/>
  <c r="C10" i="7"/>
  <c r="C11" i="7" s="1"/>
  <c r="D34" i="7"/>
  <c r="AM10" i="7"/>
  <c r="AM11" i="7" s="1"/>
  <c r="D10" i="7" l="1"/>
  <c r="D11" i="7" s="1"/>
  <c r="AQ40" i="13" l="1"/>
  <c r="AP40" i="13"/>
  <c r="AO40" i="13"/>
  <c r="AN40" i="13"/>
  <c r="AL40" i="13"/>
  <c r="AK40" i="13"/>
  <c r="AH40" i="13"/>
  <c r="AG40" i="13"/>
  <c r="AF40" i="13"/>
  <c r="AE40" i="13"/>
  <c r="AC40" i="13"/>
  <c r="AB40" i="13"/>
  <c r="Y40" i="13"/>
  <c r="X40" i="13"/>
  <c r="W40" i="13"/>
  <c r="V40" i="13"/>
  <c r="T40" i="13"/>
  <c r="S40" i="13"/>
  <c r="Q40" i="13"/>
  <c r="P40" i="13"/>
  <c r="O40" i="13"/>
  <c r="N40" i="13"/>
  <c r="L40" i="13"/>
  <c r="K40" i="13"/>
  <c r="F40" i="13"/>
  <c r="E40" i="13"/>
  <c r="AD39" i="13"/>
  <c r="AD40" i="13" s="1"/>
  <c r="U39" i="13"/>
  <c r="U40" i="13" s="1"/>
  <c r="M39" i="13"/>
  <c r="M40" i="13" s="1"/>
  <c r="H39" i="13"/>
  <c r="H40" i="13" s="1"/>
  <c r="G39" i="13"/>
  <c r="G40" i="13" s="1"/>
  <c r="F39" i="13"/>
  <c r="E39" i="13"/>
  <c r="C39" i="13"/>
  <c r="C40" i="13" s="1"/>
  <c r="B39" i="13"/>
  <c r="B40" i="13" s="1"/>
  <c r="AM38" i="13"/>
  <c r="AM40" i="13" s="1"/>
  <c r="AD38" i="13"/>
  <c r="AD20" i="13" s="1"/>
  <c r="U38" i="13"/>
  <c r="U20" i="13" s="1"/>
  <c r="U9" i="13" s="1"/>
  <c r="M38" i="13"/>
  <c r="H38" i="13"/>
  <c r="G38" i="13"/>
  <c r="F38" i="13"/>
  <c r="E38" i="13"/>
  <c r="C38" i="13"/>
  <c r="B38" i="13"/>
  <c r="AQ37" i="13"/>
  <c r="AP37" i="13"/>
  <c r="AO37" i="13"/>
  <c r="AN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T37" i="13"/>
  <c r="S37" i="13"/>
  <c r="Q37" i="13"/>
  <c r="P37" i="13"/>
  <c r="O37" i="13"/>
  <c r="N37" i="13"/>
  <c r="L37" i="13"/>
  <c r="K37" i="13"/>
  <c r="F37" i="13"/>
  <c r="E37" i="13"/>
  <c r="AD36" i="13"/>
  <c r="AD37" i="13" s="1"/>
  <c r="U36" i="13"/>
  <c r="U37" i="13" s="1"/>
  <c r="M36" i="13"/>
  <c r="M37" i="13" s="1"/>
  <c r="H36" i="13"/>
  <c r="H37" i="13" s="1"/>
  <c r="G36" i="13"/>
  <c r="G37" i="13" s="1"/>
  <c r="F36" i="13"/>
  <c r="E36" i="13"/>
  <c r="C36" i="13"/>
  <c r="C37" i="13" s="1"/>
  <c r="B36" i="13"/>
  <c r="B37" i="13" s="1"/>
  <c r="AM35" i="13"/>
  <c r="AM37" i="13" s="1"/>
  <c r="AD35" i="13"/>
  <c r="U35" i="13"/>
  <c r="D35" i="13" s="1"/>
  <c r="M35" i="13"/>
  <c r="H35" i="13"/>
  <c r="G35" i="13"/>
  <c r="F35" i="13"/>
  <c r="E35" i="13"/>
  <c r="C35" i="13"/>
  <c r="B35" i="13"/>
  <c r="AQ34" i="13"/>
  <c r="AP34" i="13"/>
  <c r="AO34" i="13"/>
  <c r="AN34" i="13"/>
  <c r="AM34" i="13"/>
  <c r="AL34" i="13"/>
  <c r="AK34" i="13"/>
  <c r="AH34" i="13"/>
  <c r="AG34" i="13"/>
  <c r="AF34" i="13"/>
  <c r="AE34" i="13"/>
  <c r="AC34" i="13"/>
  <c r="AB34" i="13"/>
  <c r="Y34" i="13"/>
  <c r="X34" i="13"/>
  <c r="W34" i="13"/>
  <c r="V34" i="13"/>
  <c r="T34" i="13"/>
  <c r="Q34" i="13"/>
  <c r="P34" i="13"/>
  <c r="O34" i="13"/>
  <c r="N34" i="13"/>
  <c r="L34" i="13"/>
  <c r="K34" i="13"/>
  <c r="M33" i="13"/>
  <c r="M34" i="13" s="1"/>
  <c r="H33" i="13"/>
  <c r="H34" i="13" s="1"/>
  <c r="G33" i="13"/>
  <c r="G34" i="13" s="1"/>
  <c r="F33" i="13"/>
  <c r="F34" i="13" s="1"/>
  <c r="E33" i="13"/>
  <c r="E34" i="13" s="1"/>
  <c r="D33" i="13"/>
  <c r="C33" i="13"/>
  <c r="C34" i="13" s="1"/>
  <c r="B33" i="13"/>
  <c r="B34" i="13" s="1"/>
  <c r="AM32" i="13"/>
  <c r="AD32" i="13"/>
  <c r="AD34" i="13" s="1"/>
  <c r="U32" i="13"/>
  <c r="U34" i="13" s="1"/>
  <c r="M32" i="13"/>
  <c r="M20" i="13" s="1"/>
  <c r="H32" i="13"/>
  <c r="G32" i="13"/>
  <c r="F32" i="13"/>
  <c r="E32" i="13"/>
  <c r="C32" i="13"/>
  <c r="B32" i="13"/>
  <c r="AQ31" i="13"/>
  <c r="AP31" i="13"/>
  <c r="AO31" i="13"/>
  <c r="AN31" i="13"/>
  <c r="AM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U31" i="13"/>
  <c r="T31" i="13"/>
  <c r="S31" i="13"/>
  <c r="Q31" i="13"/>
  <c r="P31" i="13"/>
  <c r="O31" i="13"/>
  <c r="N31" i="13"/>
  <c r="M31" i="13"/>
  <c r="L31" i="13"/>
  <c r="K31" i="13"/>
  <c r="C31" i="13"/>
  <c r="B31" i="13"/>
  <c r="AD30" i="13"/>
  <c r="AD31" i="13" s="1"/>
  <c r="U30" i="13"/>
  <c r="M30" i="13"/>
  <c r="H30" i="13"/>
  <c r="H31" i="13" s="1"/>
  <c r="G30" i="13"/>
  <c r="G31" i="13" s="1"/>
  <c r="F30" i="13"/>
  <c r="F31" i="13" s="1"/>
  <c r="E30" i="13"/>
  <c r="E31" i="13" s="1"/>
  <c r="D30" i="13"/>
  <c r="C30" i="13"/>
  <c r="B30" i="13"/>
  <c r="AD29" i="13"/>
  <c r="U29" i="13"/>
  <c r="M29" i="13"/>
  <c r="D29" i="13" s="1"/>
  <c r="H29" i="13"/>
  <c r="G29" i="13"/>
  <c r="F29" i="13"/>
  <c r="E29" i="13"/>
  <c r="C29" i="13"/>
  <c r="B29" i="13"/>
  <c r="AQ28" i="13"/>
  <c r="AP28" i="13"/>
  <c r="AO28" i="13"/>
  <c r="AN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U28" i="13"/>
  <c r="T28" i="13"/>
  <c r="S28" i="13"/>
  <c r="Q28" i="13"/>
  <c r="P28" i="13"/>
  <c r="O28" i="13"/>
  <c r="N28" i="13"/>
  <c r="M28" i="13"/>
  <c r="L28" i="13"/>
  <c r="K28" i="13"/>
  <c r="B28" i="13"/>
  <c r="AD27" i="13"/>
  <c r="AD21" i="13" s="1"/>
  <c r="U27" i="13"/>
  <c r="M27" i="13"/>
  <c r="H27" i="13"/>
  <c r="H28" i="13" s="1"/>
  <c r="G27" i="13"/>
  <c r="G28" i="13" s="1"/>
  <c r="F27" i="13"/>
  <c r="F28" i="13" s="1"/>
  <c r="E27" i="13"/>
  <c r="E28" i="13" s="1"/>
  <c r="D27" i="13"/>
  <c r="D28" i="13" s="1"/>
  <c r="C27" i="13"/>
  <c r="C28" i="13" s="1"/>
  <c r="B27" i="13"/>
  <c r="AM26" i="13"/>
  <c r="AM28" i="13" s="1"/>
  <c r="AD26" i="13"/>
  <c r="U26" i="13"/>
  <c r="M26" i="13"/>
  <c r="D26" i="13" s="1"/>
  <c r="H26" i="13"/>
  <c r="G26" i="13"/>
  <c r="F26" i="13"/>
  <c r="E26" i="13"/>
  <c r="C26" i="13"/>
  <c r="B26" i="13"/>
  <c r="AQ25" i="13"/>
  <c r="AP25" i="13"/>
  <c r="AO25" i="13"/>
  <c r="AN25" i="13"/>
  <c r="AL25" i="13"/>
  <c r="AK25" i="13"/>
  <c r="AH25" i="13"/>
  <c r="AG25" i="13"/>
  <c r="AF25" i="13"/>
  <c r="AE25" i="13"/>
  <c r="AD25" i="13"/>
  <c r="AC25" i="13"/>
  <c r="AB25" i="13"/>
  <c r="Q25" i="13"/>
  <c r="P25" i="13"/>
  <c r="O25" i="13"/>
  <c r="N25" i="13"/>
  <c r="M25" i="13"/>
  <c r="L25" i="13"/>
  <c r="K25" i="13"/>
  <c r="G25" i="13"/>
  <c r="B25" i="13"/>
  <c r="AM23" i="13"/>
  <c r="AM25" i="13" s="1"/>
  <c r="U23" i="13"/>
  <c r="H23" i="13"/>
  <c r="H25" i="13" s="1"/>
  <c r="G23" i="13"/>
  <c r="F23" i="13"/>
  <c r="F25" i="13" s="1"/>
  <c r="E23" i="13"/>
  <c r="E25" i="13" s="1"/>
  <c r="D23" i="13"/>
  <c r="D25" i="13" s="1"/>
  <c r="C23" i="13"/>
  <c r="C25" i="13" s="1"/>
  <c r="B23" i="13"/>
  <c r="AN22" i="13"/>
  <c r="AL22" i="13"/>
  <c r="AK22" i="13"/>
  <c r="AC22" i="13"/>
  <c r="AB22" i="13"/>
  <c r="Y22" i="13"/>
  <c r="T22" i="13"/>
  <c r="S22" i="13"/>
  <c r="Q22" i="13"/>
  <c r="P22" i="13"/>
  <c r="K22" i="13"/>
  <c r="AH21" i="13"/>
  <c r="AH22" i="13" s="1"/>
  <c r="AG21" i="13"/>
  <c r="AG22" i="13" s="1"/>
  <c r="AF21" i="13"/>
  <c r="AF22" i="13" s="1"/>
  <c r="AE21" i="13"/>
  <c r="AE22" i="13" s="1"/>
  <c r="AC21" i="13"/>
  <c r="AB21" i="13"/>
  <c r="Y21" i="13"/>
  <c r="X21" i="13"/>
  <c r="X22" i="13" s="1"/>
  <c r="W21" i="13"/>
  <c r="W22" i="13" s="1"/>
  <c r="V21" i="13"/>
  <c r="V22" i="13" s="1"/>
  <c r="U21" i="13"/>
  <c r="U22" i="13" s="1"/>
  <c r="T21" i="13"/>
  <c r="S21" i="13"/>
  <c r="Q21" i="13"/>
  <c r="H21" i="13" s="1"/>
  <c r="P21" i="13"/>
  <c r="G21" i="13" s="1"/>
  <c r="O21" i="13"/>
  <c r="O22" i="13" s="1"/>
  <c r="N21" i="13"/>
  <c r="N22" i="13" s="1"/>
  <c r="M21" i="13"/>
  <c r="M22" i="13" s="1"/>
  <c r="L21" i="13"/>
  <c r="C21" i="13" s="1"/>
  <c r="K21" i="13"/>
  <c r="B21" i="13"/>
  <c r="B22" i="13" s="1"/>
  <c r="AQ20" i="13"/>
  <c r="AQ22" i="13" s="1"/>
  <c r="AP20" i="13"/>
  <c r="AP22" i="13" s="1"/>
  <c r="AO20" i="13"/>
  <c r="AO22" i="13" s="1"/>
  <c r="AN20" i="13"/>
  <c r="AL20" i="13"/>
  <c r="C20" i="13" s="1"/>
  <c r="AK20" i="13"/>
  <c r="AH20" i="13"/>
  <c r="AH9" i="13" s="1"/>
  <c r="AG20" i="13"/>
  <c r="AF20" i="13"/>
  <c r="AE20" i="13"/>
  <c r="AC20" i="13"/>
  <c r="AB20" i="13"/>
  <c r="Y20" i="13"/>
  <c r="Y9" i="13" s="1"/>
  <c r="X20" i="13"/>
  <c r="X9" i="13" s="1"/>
  <c r="W20" i="13"/>
  <c r="V20" i="13"/>
  <c r="T20" i="13"/>
  <c r="S20" i="13"/>
  <c r="B20" i="13" s="1"/>
  <c r="Q20" i="13"/>
  <c r="H20" i="13" s="1"/>
  <c r="P20" i="13"/>
  <c r="P9" i="13" s="1"/>
  <c r="O20" i="13"/>
  <c r="F20" i="13" s="1"/>
  <c r="N20" i="13"/>
  <c r="L20" i="13"/>
  <c r="K20" i="13"/>
  <c r="E20" i="13"/>
  <c r="AD18" i="13"/>
  <c r="U18" i="13"/>
  <c r="M18" i="13"/>
  <c r="H17" i="13"/>
  <c r="G17" i="13"/>
  <c r="F17" i="13"/>
  <c r="E17" i="13"/>
  <c r="D17" i="13"/>
  <c r="C17" i="13"/>
  <c r="B17" i="13"/>
  <c r="H16" i="13"/>
  <c r="G16" i="13"/>
  <c r="F16" i="13"/>
  <c r="E16" i="13"/>
  <c r="D16" i="13"/>
  <c r="C16" i="13"/>
  <c r="B16" i="13"/>
  <c r="AQ15" i="13"/>
  <c r="AP15" i="13"/>
  <c r="AO15" i="13"/>
  <c r="AN15" i="13"/>
  <c r="AM15" i="13"/>
  <c r="AL15" i="13"/>
  <c r="AK15" i="13"/>
  <c r="AF15" i="13"/>
  <c r="AE15" i="13"/>
  <c r="Y15" i="13"/>
  <c r="X15" i="13"/>
  <c r="W15" i="13"/>
  <c r="V15" i="13"/>
  <c r="T15" i="13"/>
  <c r="N15" i="13"/>
  <c r="L15" i="13"/>
  <c r="K15" i="13"/>
  <c r="AH15" i="13"/>
  <c r="AG10" i="13"/>
  <c r="AE10" i="13"/>
  <c r="AE11" i="13" s="1"/>
  <c r="AC15" i="13"/>
  <c r="AB15" i="13"/>
  <c r="U14" i="13"/>
  <c r="U15" i="13" s="1"/>
  <c r="Q15" i="13"/>
  <c r="P14" i="13"/>
  <c r="P15" i="13" s="1"/>
  <c r="O15" i="13"/>
  <c r="C14" i="13"/>
  <c r="C15" i="13" s="1"/>
  <c r="K10" i="13"/>
  <c r="K11" i="13" s="1"/>
  <c r="G14" i="13"/>
  <c r="G15" i="13" s="1"/>
  <c r="F14" i="13"/>
  <c r="F15" i="13" s="1"/>
  <c r="E14" i="13"/>
  <c r="E15" i="13" s="1"/>
  <c r="AG13" i="13"/>
  <c r="AG9" i="13" s="1"/>
  <c r="U13" i="13"/>
  <c r="T13" i="13"/>
  <c r="S13" i="13"/>
  <c r="S15" i="13" s="1"/>
  <c r="M13" i="13"/>
  <c r="H13" i="13"/>
  <c r="G13" i="13"/>
  <c r="F13" i="13"/>
  <c r="E13" i="13"/>
  <c r="D13" i="13"/>
  <c r="C13" i="13"/>
  <c r="B13" i="13"/>
  <c r="AN11" i="13"/>
  <c r="AM11" i="13"/>
  <c r="AL11" i="13"/>
  <c r="AQ10" i="13"/>
  <c r="AQ11" i="13" s="1"/>
  <c r="AP10" i="13"/>
  <c r="AP11" i="13" s="1"/>
  <c r="AO10" i="13"/>
  <c r="AO11" i="13" s="1"/>
  <c r="AN10" i="13"/>
  <c r="AM10" i="13"/>
  <c r="AL10" i="13"/>
  <c r="AK10" i="13"/>
  <c r="AK11" i="13" s="1"/>
  <c r="AF10" i="13"/>
  <c r="AF11" i="13" s="1"/>
  <c r="Y10" i="13"/>
  <c r="X10" i="13"/>
  <c r="W10" i="13"/>
  <c r="W11" i="13" s="1"/>
  <c r="V10" i="13"/>
  <c r="V11" i="13" s="1"/>
  <c r="U10" i="13"/>
  <c r="U11" i="13" s="1"/>
  <c r="T10" i="13"/>
  <c r="S10" i="13"/>
  <c r="P10" i="13"/>
  <c r="O10" i="13"/>
  <c r="N10" i="13"/>
  <c r="N11" i="13" s="1"/>
  <c r="L10" i="13"/>
  <c r="L11" i="13" s="1"/>
  <c r="AN9" i="13"/>
  <c r="AF9" i="13"/>
  <c r="AE9" i="13"/>
  <c r="AC9" i="13"/>
  <c r="AB9" i="13"/>
  <c r="W9" i="13"/>
  <c r="V9" i="13"/>
  <c r="T9" i="13"/>
  <c r="T11" i="13" s="1"/>
  <c r="S9" i="13"/>
  <c r="S11" i="13" s="1"/>
  <c r="Q9" i="13"/>
  <c r="N9" i="13"/>
  <c r="L9" i="13"/>
  <c r="C9" i="13" s="1"/>
  <c r="K9" i="13"/>
  <c r="B9" i="13" s="1"/>
  <c r="E9" i="13"/>
  <c r="AD13" i="13" l="1"/>
  <c r="AD15" i="13" s="1"/>
  <c r="M10" i="13"/>
  <c r="D14" i="13"/>
  <c r="D15" i="13" s="1"/>
  <c r="M15" i="13"/>
  <c r="G9" i="13"/>
  <c r="M9" i="13"/>
  <c r="D9" i="13" s="1"/>
  <c r="C22" i="13"/>
  <c r="C10" i="13"/>
  <c r="C11" i="13" s="1"/>
  <c r="AD10" i="13"/>
  <c r="AD22" i="13"/>
  <c r="AG11" i="13"/>
  <c r="G10" i="13"/>
  <c r="G11" i="13" s="1"/>
  <c r="X11" i="13"/>
  <c r="H22" i="13"/>
  <c r="H9" i="13"/>
  <c r="Y11" i="13"/>
  <c r="P11" i="13"/>
  <c r="D31" i="13"/>
  <c r="D38" i="13"/>
  <c r="AH10" i="13"/>
  <c r="AH11" i="13" s="1"/>
  <c r="B14" i="13"/>
  <c r="AG15" i="13"/>
  <c r="AM20" i="13"/>
  <c r="AM22" i="13" s="1"/>
  <c r="E21" i="13"/>
  <c r="F21" i="13"/>
  <c r="L22" i="13"/>
  <c r="G20" i="13"/>
  <c r="G22" i="13" s="1"/>
  <c r="D21" i="13"/>
  <c r="Q10" i="13"/>
  <c r="Q11" i="13" s="1"/>
  <c r="AB10" i="13"/>
  <c r="AB11" i="13" s="1"/>
  <c r="D32" i="13"/>
  <c r="D34" i="13" s="1"/>
  <c r="D36" i="13"/>
  <c r="D37" i="13" s="1"/>
  <c r="D39" i="13"/>
  <c r="AD28" i="13"/>
  <c r="H14" i="13"/>
  <c r="H15" i="13" s="1"/>
  <c r="O9" i="13"/>
  <c r="F9" i="13" s="1"/>
  <c r="AC10" i="13"/>
  <c r="AC11" i="13" s="1"/>
  <c r="AD11" i="13" l="1"/>
  <c r="AD9" i="13"/>
  <c r="H10" i="13"/>
  <c r="H11" i="13" s="1"/>
  <c r="D40" i="13"/>
  <c r="F10" i="13"/>
  <c r="F11" i="13" s="1"/>
  <c r="F22" i="13"/>
  <c r="D20" i="13"/>
  <c r="E22" i="13"/>
  <c r="E10" i="13"/>
  <c r="E11" i="13" s="1"/>
  <c r="D22" i="13"/>
  <c r="D10" i="13"/>
  <c r="D11" i="13" s="1"/>
  <c r="O11" i="13"/>
  <c r="B10" i="13"/>
  <c r="B11" i="13" s="1"/>
  <c r="B15" i="13"/>
  <c r="M11" i="13"/>
  <c r="M14" i="14" l="1"/>
  <c r="M18" i="21" l="1"/>
  <c r="AQ40" i="6" l="1"/>
  <c r="AP40" i="6"/>
  <c r="AO40" i="6"/>
  <c r="AM40" i="6"/>
  <c r="AL40" i="6"/>
  <c r="AK40" i="6"/>
  <c r="AH40" i="6"/>
  <c r="AG40" i="6"/>
  <c r="AF40" i="6"/>
  <c r="AE40" i="6"/>
  <c r="AD40" i="6"/>
  <c r="AC40" i="6"/>
  <c r="AB40" i="6"/>
  <c r="Y40" i="6"/>
  <c r="X40" i="6"/>
  <c r="W40" i="6"/>
  <c r="V40" i="6"/>
  <c r="U40" i="6"/>
  <c r="T40" i="6"/>
  <c r="S40" i="6"/>
  <c r="Q40" i="6"/>
  <c r="P40" i="6"/>
  <c r="O40" i="6"/>
  <c r="N40" i="6"/>
  <c r="M40" i="6"/>
  <c r="L40" i="6"/>
  <c r="K40" i="6"/>
  <c r="E40" i="6"/>
  <c r="H39" i="6"/>
  <c r="H40" i="6" s="1"/>
  <c r="G39" i="6"/>
  <c r="G40" i="6" s="1"/>
  <c r="F39" i="6"/>
  <c r="F40" i="6" s="1"/>
  <c r="E39" i="6"/>
  <c r="D39" i="6"/>
  <c r="C39" i="6"/>
  <c r="C40" i="6" s="1"/>
  <c r="B39" i="6"/>
  <c r="B40" i="6" s="1"/>
  <c r="H38" i="6"/>
  <c r="G38" i="6"/>
  <c r="F38" i="6"/>
  <c r="E38" i="6"/>
  <c r="D38" i="6" s="1"/>
  <c r="D40" i="6" s="1"/>
  <c r="C38" i="6"/>
  <c r="B38" i="6"/>
  <c r="B20" i="6" s="1"/>
  <c r="AH37" i="6"/>
  <c r="AG37" i="6"/>
  <c r="AF37" i="6"/>
  <c r="AE37" i="6"/>
  <c r="AC37" i="6"/>
  <c r="AB37" i="6"/>
  <c r="Y37" i="6"/>
  <c r="X37" i="6"/>
  <c r="W37" i="6"/>
  <c r="V37" i="6"/>
  <c r="U37" i="6"/>
  <c r="T37" i="6"/>
  <c r="S37" i="6"/>
  <c r="M37" i="6"/>
  <c r="H37" i="6"/>
  <c r="H36" i="6"/>
  <c r="G36" i="6"/>
  <c r="G37" i="6" s="1"/>
  <c r="F36" i="6"/>
  <c r="F37" i="6" s="1"/>
  <c r="E36" i="6"/>
  <c r="E37" i="6" s="1"/>
  <c r="C36" i="6"/>
  <c r="C37" i="6" s="1"/>
  <c r="B36" i="6"/>
  <c r="B37" i="6" s="1"/>
  <c r="AD35" i="6"/>
  <c r="AD37" i="6" s="1"/>
  <c r="H35" i="6"/>
  <c r="G35" i="6"/>
  <c r="D35" i="6" s="1"/>
  <c r="F35" i="6"/>
  <c r="E35" i="6"/>
  <c r="C35" i="6"/>
  <c r="B35" i="6"/>
  <c r="AH34" i="6"/>
  <c r="AG34" i="6"/>
  <c r="AF34" i="6"/>
  <c r="AE34" i="6"/>
  <c r="AD34" i="6"/>
  <c r="AC34" i="6"/>
  <c r="AB34" i="6"/>
  <c r="Y34" i="6"/>
  <c r="X34" i="6"/>
  <c r="W34" i="6"/>
  <c r="V34" i="6"/>
  <c r="U34" i="6"/>
  <c r="T34" i="6"/>
  <c r="S34" i="6"/>
  <c r="M34" i="6"/>
  <c r="AM33" i="6"/>
  <c r="H33" i="6"/>
  <c r="H34" i="6" s="1"/>
  <c r="G33" i="6"/>
  <c r="G34" i="6" s="1"/>
  <c r="F33" i="6"/>
  <c r="F34" i="6" s="1"/>
  <c r="E33" i="6"/>
  <c r="D33" i="6" s="1"/>
  <c r="C33" i="6"/>
  <c r="C34" i="6" s="1"/>
  <c r="B33" i="6"/>
  <c r="B34" i="6" s="1"/>
  <c r="AM32" i="6"/>
  <c r="H32" i="6"/>
  <c r="G32" i="6"/>
  <c r="F32" i="6"/>
  <c r="E32" i="6"/>
  <c r="D32" i="6" s="1"/>
  <c r="C32" i="6"/>
  <c r="B32" i="6"/>
  <c r="AQ31" i="6"/>
  <c r="AP31" i="6"/>
  <c r="AO31" i="6"/>
  <c r="AM31" i="6"/>
  <c r="AL31" i="6"/>
  <c r="AK31" i="6"/>
  <c r="AH31" i="6"/>
  <c r="AG31" i="6"/>
  <c r="AF31" i="6"/>
  <c r="AE31" i="6"/>
  <c r="AD31" i="6"/>
  <c r="AC31" i="6"/>
  <c r="AB31" i="6"/>
  <c r="Y31" i="6"/>
  <c r="X31" i="6"/>
  <c r="W31" i="6"/>
  <c r="V31" i="6"/>
  <c r="U31" i="6"/>
  <c r="T31" i="6"/>
  <c r="S31" i="6"/>
  <c r="Q31" i="6"/>
  <c r="P31" i="6"/>
  <c r="O31" i="6"/>
  <c r="N31" i="6"/>
  <c r="M31" i="6"/>
  <c r="L31" i="6"/>
  <c r="K31" i="6"/>
  <c r="AM30" i="6"/>
  <c r="H30" i="6"/>
  <c r="H31" i="6" s="1"/>
  <c r="G30" i="6"/>
  <c r="G21" i="6" s="1"/>
  <c r="F30" i="6"/>
  <c r="F31" i="6" s="1"/>
  <c r="E30" i="6"/>
  <c r="E31" i="6" s="1"/>
  <c r="C30" i="6"/>
  <c r="C31" i="6" s="1"/>
  <c r="B30" i="6"/>
  <c r="B31" i="6" s="1"/>
  <c r="AM29" i="6"/>
  <c r="H29" i="6"/>
  <c r="G29" i="6"/>
  <c r="F29" i="6"/>
  <c r="E29" i="6"/>
  <c r="D29" i="6" s="1"/>
  <c r="C29" i="6"/>
  <c r="B29" i="6"/>
  <c r="AQ28" i="6"/>
  <c r="AP28" i="6"/>
  <c r="AO28" i="6"/>
  <c r="AM28" i="6"/>
  <c r="AL28" i="6"/>
  <c r="AK28" i="6"/>
  <c r="AH28" i="6"/>
  <c r="AG28" i="6"/>
  <c r="AF28" i="6"/>
  <c r="AE28" i="6"/>
  <c r="AD28" i="6"/>
  <c r="AC28" i="6"/>
  <c r="AB28" i="6"/>
  <c r="Y28" i="6"/>
  <c r="X28" i="6"/>
  <c r="W28" i="6"/>
  <c r="V28" i="6"/>
  <c r="U28" i="6"/>
  <c r="T28" i="6"/>
  <c r="S28" i="6"/>
  <c r="Q28" i="6"/>
  <c r="P28" i="6"/>
  <c r="O28" i="6"/>
  <c r="N28" i="6"/>
  <c r="M28" i="6"/>
  <c r="L28" i="6"/>
  <c r="K28" i="6"/>
  <c r="B28" i="6"/>
  <c r="H27" i="6"/>
  <c r="H28" i="6" s="1"/>
  <c r="G27" i="6"/>
  <c r="G28" i="6" s="1"/>
  <c r="F27" i="6"/>
  <c r="F28" i="6" s="1"/>
  <c r="E27" i="6"/>
  <c r="E28" i="6" s="1"/>
  <c r="C27" i="6"/>
  <c r="C28" i="6" s="1"/>
  <c r="B27" i="6"/>
  <c r="H26" i="6"/>
  <c r="G26" i="6"/>
  <c r="F26" i="6"/>
  <c r="E26" i="6"/>
  <c r="D26" i="6" s="1"/>
  <c r="C26" i="6"/>
  <c r="B26" i="6"/>
  <c r="AQ25" i="6"/>
  <c r="AP25" i="6"/>
  <c r="AO25" i="6"/>
  <c r="AL25" i="6"/>
  <c r="AK25" i="6"/>
  <c r="AH25" i="6"/>
  <c r="AG25" i="6"/>
  <c r="AF25" i="6"/>
  <c r="AE25" i="6"/>
  <c r="AD25" i="6"/>
  <c r="AC25" i="6"/>
  <c r="AB25" i="6"/>
  <c r="Y25" i="6"/>
  <c r="X25" i="6"/>
  <c r="W25" i="6"/>
  <c r="V25" i="6"/>
  <c r="U25" i="6"/>
  <c r="T25" i="6"/>
  <c r="S25" i="6"/>
  <c r="Q25" i="6"/>
  <c r="P25" i="6"/>
  <c r="O25" i="6"/>
  <c r="N25" i="6"/>
  <c r="L25" i="6"/>
  <c r="K25" i="6"/>
  <c r="B25" i="6"/>
  <c r="AM24" i="6"/>
  <c r="AM25" i="6" s="1"/>
  <c r="AD24" i="6"/>
  <c r="U24" i="6"/>
  <c r="M24" i="6"/>
  <c r="M25" i="6" s="1"/>
  <c r="H24" i="6"/>
  <c r="H25" i="6" s="1"/>
  <c r="G24" i="6"/>
  <c r="G25" i="6" s="1"/>
  <c r="F24" i="6"/>
  <c r="F25" i="6" s="1"/>
  <c r="E24" i="6"/>
  <c r="E25" i="6" s="1"/>
  <c r="D24" i="6"/>
  <c r="C24" i="6"/>
  <c r="C25" i="6" s="1"/>
  <c r="B24" i="6"/>
  <c r="AM23" i="6"/>
  <c r="AD23" i="6"/>
  <c r="U23" i="6"/>
  <c r="M23" i="6"/>
  <c r="H23" i="6"/>
  <c r="G23" i="6"/>
  <c r="F23" i="6"/>
  <c r="E23" i="6"/>
  <c r="D23" i="6" s="1"/>
  <c r="C23" i="6"/>
  <c r="B23" i="6"/>
  <c r="AP22" i="6"/>
  <c r="AO22" i="6"/>
  <c r="AE22" i="6"/>
  <c r="AD22" i="6"/>
  <c r="U22" i="6"/>
  <c r="T22" i="6"/>
  <c r="L22" i="6"/>
  <c r="K22" i="6"/>
  <c r="AQ21" i="6"/>
  <c r="AQ10" i="6" s="1"/>
  <c r="AQ11" i="6" s="1"/>
  <c r="AP21" i="6"/>
  <c r="AO21" i="6"/>
  <c r="AN21" i="6"/>
  <c r="AL21" i="6"/>
  <c r="AL22" i="6" s="1"/>
  <c r="AK21" i="6"/>
  <c r="AK22" i="6" s="1"/>
  <c r="AH21" i="6"/>
  <c r="AH22" i="6" s="1"/>
  <c r="AG21" i="6"/>
  <c r="AG10" i="6" s="1"/>
  <c r="AF21" i="6"/>
  <c r="AF22" i="6" s="1"/>
  <c r="AE21" i="6"/>
  <c r="AD21" i="6"/>
  <c r="AC21" i="6"/>
  <c r="AC22" i="6" s="1"/>
  <c r="AB21" i="6"/>
  <c r="AB22" i="6" s="1"/>
  <c r="Y21" i="6"/>
  <c r="Y22" i="6" s="1"/>
  <c r="X21" i="6"/>
  <c r="X22" i="6" s="1"/>
  <c r="W21" i="6"/>
  <c r="W10" i="6" s="1"/>
  <c r="W11" i="6" s="1"/>
  <c r="V21" i="6"/>
  <c r="V22" i="6" s="1"/>
  <c r="U21" i="6"/>
  <c r="T21" i="6"/>
  <c r="S21" i="6"/>
  <c r="S22" i="6" s="1"/>
  <c r="Q21" i="6"/>
  <c r="Q22" i="6" s="1"/>
  <c r="P21" i="6"/>
  <c r="P22" i="6" s="1"/>
  <c r="O21" i="6"/>
  <c r="O22" i="6" s="1"/>
  <c r="N21" i="6"/>
  <c r="N10" i="6" s="1"/>
  <c r="N11" i="6" s="1"/>
  <c r="M21" i="6"/>
  <c r="M22" i="6" s="1"/>
  <c r="L21" i="6"/>
  <c r="K21" i="6"/>
  <c r="B21" i="6"/>
  <c r="AQ20" i="6"/>
  <c r="AP20" i="6"/>
  <c r="AO20" i="6"/>
  <c r="AN20" i="6"/>
  <c r="AM20" i="6"/>
  <c r="D20" i="6" s="1"/>
  <c r="AL20" i="6"/>
  <c r="AL9" i="6" s="1"/>
  <c r="AK20" i="6"/>
  <c r="AH20" i="6"/>
  <c r="AG20" i="6"/>
  <c r="AF20" i="6"/>
  <c r="AE20" i="6"/>
  <c r="AD20" i="6"/>
  <c r="AC20" i="6"/>
  <c r="AB20" i="6"/>
  <c r="AB9" i="6" s="1"/>
  <c r="Y20" i="6"/>
  <c r="X20" i="6"/>
  <c r="W20" i="6"/>
  <c r="V20" i="6"/>
  <c r="U20" i="6"/>
  <c r="T20" i="6"/>
  <c r="S20" i="6"/>
  <c r="Q20" i="6"/>
  <c r="Q9" i="6" s="1"/>
  <c r="P20" i="6"/>
  <c r="O20" i="6"/>
  <c r="N20" i="6"/>
  <c r="M20" i="6"/>
  <c r="L20" i="6"/>
  <c r="C20" i="6" s="1"/>
  <c r="C9" i="6" s="1"/>
  <c r="K20" i="6"/>
  <c r="G20" i="6"/>
  <c r="G9" i="6" s="1"/>
  <c r="F20" i="6"/>
  <c r="E20" i="6"/>
  <c r="AM18" i="6"/>
  <c r="AD18" i="6"/>
  <c r="U18" i="6"/>
  <c r="H18" i="6"/>
  <c r="G18" i="6"/>
  <c r="F18" i="6"/>
  <c r="E18" i="6"/>
  <c r="D18" i="6"/>
  <c r="C18" i="6"/>
  <c r="B18" i="6"/>
  <c r="H17" i="6"/>
  <c r="G17" i="6"/>
  <c r="F17" i="6"/>
  <c r="E17" i="6"/>
  <c r="D17" i="6" s="1"/>
  <c r="C17" i="6"/>
  <c r="B17" i="6"/>
  <c r="AM16" i="6"/>
  <c r="H16" i="6"/>
  <c r="G16" i="6"/>
  <c r="F16" i="6"/>
  <c r="E16" i="6"/>
  <c r="D16" i="6" s="1"/>
  <c r="C16" i="6"/>
  <c r="B16" i="6"/>
  <c r="AQ15" i="6"/>
  <c r="AP15" i="6"/>
  <c r="AO15" i="6"/>
  <c r="AM15" i="6"/>
  <c r="AL15" i="6"/>
  <c r="AK15" i="6"/>
  <c r="AH15" i="6"/>
  <c r="AG15" i="6"/>
  <c r="AF15" i="6"/>
  <c r="AE15" i="6"/>
  <c r="AD15" i="6"/>
  <c r="AC15" i="6"/>
  <c r="AB15" i="6"/>
  <c r="Y15" i="6"/>
  <c r="X15" i="6"/>
  <c r="W15" i="6"/>
  <c r="V15" i="6"/>
  <c r="U15" i="6"/>
  <c r="T15" i="6"/>
  <c r="S15" i="6"/>
  <c r="Q15" i="6"/>
  <c r="P15" i="6"/>
  <c r="O15" i="6"/>
  <c r="N15" i="6"/>
  <c r="M15" i="6"/>
  <c r="L15" i="6"/>
  <c r="K15" i="6"/>
  <c r="C15" i="6"/>
  <c r="B15" i="6"/>
  <c r="H14" i="6"/>
  <c r="H15" i="6" s="1"/>
  <c r="G14" i="6"/>
  <c r="G15" i="6" s="1"/>
  <c r="F14" i="6"/>
  <c r="F15" i="6" s="1"/>
  <c r="E14" i="6"/>
  <c r="D14" i="6"/>
  <c r="D15" i="6" s="1"/>
  <c r="C14" i="6"/>
  <c r="B14" i="6"/>
  <c r="B10" i="6" s="1"/>
  <c r="H13" i="6"/>
  <c r="G13" i="6"/>
  <c r="F13" i="6"/>
  <c r="E13" i="6"/>
  <c r="D13" i="6" s="1"/>
  <c r="C13" i="6"/>
  <c r="B13" i="6"/>
  <c r="AP11" i="6"/>
  <c r="AF11" i="6"/>
  <c r="AE11" i="6"/>
  <c r="V11" i="6"/>
  <c r="U11" i="6"/>
  <c r="M11" i="6"/>
  <c r="L11" i="6"/>
  <c r="AP10" i="6"/>
  <c r="AO10" i="6"/>
  <c r="AO11" i="6" s="1"/>
  <c r="AN10" i="6"/>
  <c r="AL10" i="6"/>
  <c r="AL11" i="6" s="1"/>
  <c r="AK10" i="6"/>
  <c r="AK11" i="6" s="1"/>
  <c r="AH10" i="6"/>
  <c r="AF10" i="6"/>
  <c r="AE10" i="6"/>
  <c r="AD10" i="6"/>
  <c r="AC10" i="6"/>
  <c r="AB10" i="6"/>
  <c r="Y10" i="6"/>
  <c r="Y11" i="6" s="1"/>
  <c r="X10" i="6"/>
  <c r="X11" i="6" s="1"/>
  <c r="V10" i="6"/>
  <c r="U10" i="6"/>
  <c r="T10" i="6"/>
  <c r="T11" i="6" s="1"/>
  <c r="S10" i="6"/>
  <c r="S11" i="6" s="1"/>
  <c r="Q10" i="6"/>
  <c r="Q11" i="6" s="1"/>
  <c r="P10" i="6"/>
  <c r="P11" i="6" s="1"/>
  <c r="O10" i="6"/>
  <c r="O11" i="6" s="1"/>
  <c r="M10" i="6"/>
  <c r="L10" i="6"/>
  <c r="K10" i="6"/>
  <c r="K11" i="6" s="1"/>
  <c r="AQ9" i="6"/>
  <c r="AP9" i="6"/>
  <c r="AO9" i="6"/>
  <c r="AN9" i="6"/>
  <c r="AM9" i="6"/>
  <c r="AK9" i="6"/>
  <c r="AH9" i="6"/>
  <c r="AG9" i="6"/>
  <c r="AF9" i="6"/>
  <c r="AE9" i="6"/>
  <c r="AD9" i="6"/>
  <c r="AC9" i="6"/>
  <c r="Y9" i="6"/>
  <c r="X9" i="6"/>
  <c r="W9" i="6"/>
  <c r="V9" i="6"/>
  <c r="U9" i="6"/>
  <c r="T9" i="6"/>
  <c r="S9" i="6"/>
  <c r="P9" i="6"/>
  <c r="O9" i="6"/>
  <c r="N9" i="6"/>
  <c r="M9" i="6"/>
  <c r="L9" i="6"/>
  <c r="K9" i="6"/>
  <c r="F9" i="6"/>
  <c r="E9" i="6"/>
  <c r="AH11" i="6" l="1"/>
  <c r="AG11" i="6"/>
  <c r="AB11" i="6"/>
  <c r="AC11" i="6"/>
  <c r="AD11" i="6"/>
  <c r="D9" i="6"/>
  <c r="G22" i="6"/>
  <c r="G10" i="6"/>
  <c r="G11" i="6" s="1"/>
  <c r="D25" i="6"/>
  <c r="D34" i="6"/>
  <c r="B22" i="6"/>
  <c r="B9" i="6"/>
  <c r="B11" i="6" s="1"/>
  <c r="E34" i="6"/>
  <c r="F21" i="6"/>
  <c r="AQ22" i="6"/>
  <c r="G31" i="6"/>
  <c r="E15" i="6"/>
  <c r="N22" i="6"/>
  <c r="W22" i="6"/>
  <c r="AG22" i="6"/>
  <c r="H21" i="6"/>
  <c r="AM21" i="6"/>
  <c r="D27" i="6"/>
  <c r="D30" i="6"/>
  <c r="D31" i="6" s="1"/>
  <c r="D36" i="6"/>
  <c r="D37" i="6" s="1"/>
  <c r="H20" i="6"/>
  <c r="H9" i="6" s="1"/>
  <c r="E21" i="6"/>
  <c r="C21" i="6"/>
  <c r="E22" i="6" l="1"/>
  <c r="E10" i="6"/>
  <c r="E11" i="6" s="1"/>
  <c r="C10" i="6"/>
  <c r="C11" i="6" s="1"/>
  <c r="C22" i="6"/>
  <c r="AM22" i="6"/>
  <c r="AM10" i="6"/>
  <c r="AM11" i="6" s="1"/>
  <c r="F10" i="6"/>
  <c r="F11" i="6" s="1"/>
  <c r="F22" i="6"/>
  <c r="D21" i="6"/>
  <c r="D28" i="6"/>
  <c r="H22" i="6"/>
  <c r="H10" i="6"/>
  <c r="H11" i="6" s="1"/>
  <c r="D10" i="6" l="1"/>
  <c r="D11" i="6" s="1"/>
  <c r="D22" i="6"/>
  <c r="AQ40" i="11" l="1"/>
  <c r="AP40" i="11"/>
  <c r="AO40" i="11"/>
  <c r="AN40" i="11"/>
  <c r="AM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E40" i="11"/>
  <c r="AM39" i="11"/>
  <c r="AD39" i="11"/>
  <c r="AD40" i="11" s="1"/>
  <c r="U39" i="11"/>
  <c r="M39" i="11"/>
  <c r="M40" i="11" s="1"/>
  <c r="H39" i="11"/>
  <c r="H40" i="11" s="1"/>
  <c r="G39" i="11"/>
  <c r="G40" i="11" s="1"/>
  <c r="F39" i="11"/>
  <c r="E39" i="11"/>
  <c r="C39" i="11"/>
  <c r="C40" i="11" s="1"/>
  <c r="B39" i="11"/>
  <c r="AM38" i="11"/>
  <c r="AD38" i="11"/>
  <c r="U38" i="11"/>
  <c r="U40" i="11" s="1"/>
  <c r="M38" i="11"/>
  <c r="H38" i="11"/>
  <c r="G38" i="11"/>
  <c r="F38" i="11"/>
  <c r="F40" i="11" s="1"/>
  <c r="E38" i="11"/>
  <c r="C38" i="11"/>
  <c r="B38" i="11"/>
  <c r="B40" i="11" s="1"/>
  <c r="AQ37" i="11"/>
  <c r="AP37" i="11"/>
  <c r="AO37" i="11"/>
  <c r="AN37" i="11"/>
  <c r="AL37" i="11"/>
  <c r="AK37" i="11"/>
  <c r="AD37" i="11"/>
  <c r="Y37" i="11"/>
  <c r="X37" i="11"/>
  <c r="W37" i="11"/>
  <c r="V37" i="11"/>
  <c r="T37" i="11"/>
  <c r="S37" i="11"/>
  <c r="Q37" i="11"/>
  <c r="P37" i="11"/>
  <c r="O37" i="11"/>
  <c r="N37" i="11"/>
  <c r="L37" i="11"/>
  <c r="K37" i="11"/>
  <c r="H37" i="11"/>
  <c r="AM36" i="11"/>
  <c r="AM37" i="11" s="1"/>
  <c r="AD36" i="11"/>
  <c r="AD21" i="11" s="1"/>
  <c r="AD22" i="11" s="1"/>
  <c r="U36" i="11"/>
  <c r="U37" i="11" s="1"/>
  <c r="M36" i="11"/>
  <c r="H36" i="11"/>
  <c r="G36" i="11"/>
  <c r="G37" i="11" s="1"/>
  <c r="F36" i="11"/>
  <c r="F37" i="11" s="1"/>
  <c r="E36" i="11"/>
  <c r="C36" i="11"/>
  <c r="C37" i="11" s="1"/>
  <c r="B36" i="11"/>
  <c r="B37" i="11" s="1"/>
  <c r="AM35" i="11"/>
  <c r="AD35" i="11"/>
  <c r="U35" i="11"/>
  <c r="M35" i="11"/>
  <c r="M37" i="11" s="1"/>
  <c r="H35" i="11"/>
  <c r="G35" i="11"/>
  <c r="F35" i="11"/>
  <c r="D35" i="11" s="1"/>
  <c r="E35" i="11"/>
  <c r="E37" i="11" s="1"/>
  <c r="C35" i="11"/>
  <c r="B35" i="11"/>
  <c r="AQ34" i="11"/>
  <c r="AP34" i="11"/>
  <c r="AO34" i="11"/>
  <c r="AN34" i="11"/>
  <c r="AL34" i="11"/>
  <c r="AK34" i="11"/>
  <c r="AH34" i="11"/>
  <c r="AG34" i="11"/>
  <c r="AF34" i="11"/>
  <c r="AE34" i="11"/>
  <c r="AD34" i="11"/>
  <c r="AC34" i="11"/>
  <c r="AB34" i="11"/>
  <c r="Y34" i="11"/>
  <c r="X34" i="11"/>
  <c r="W34" i="11"/>
  <c r="V34" i="11"/>
  <c r="T34" i="11"/>
  <c r="S34" i="11"/>
  <c r="Q34" i="11"/>
  <c r="P34" i="11"/>
  <c r="O34" i="11"/>
  <c r="N34" i="11"/>
  <c r="L34" i="11"/>
  <c r="K34" i="11"/>
  <c r="AM33" i="11"/>
  <c r="AM34" i="11" s="1"/>
  <c r="AD33" i="11"/>
  <c r="U33" i="11"/>
  <c r="M33" i="11"/>
  <c r="M34" i="11" s="1"/>
  <c r="H33" i="11"/>
  <c r="H34" i="11" s="1"/>
  <c r="G33" i="11"/>
  <c r="G34" i="11" s="1"/>
  <c r="F33" i="11"/>
  <c r="E33" i="11"/>
  <c r="E34" i="11" s="1"/>
  <c r="D33" i="11"/>
  <c r="D34" i="11" s="1"/>
  <c r="C33" i="11"/>
  <c r="C34" i="11" s="1"/>
  <c r="B33" i="11"/>
  <c r="AM32" i="11"/>
  <c r="AD32" i="11"/>
  <c r="U32" i="11"/>
  <c r="U34" i="11" s="1"/>
  <c r="M32" i="11"/>
  <c r="H32" i="11"/>
  <c r="G32" i="11"/>
  <c r="F32" i="11"/>
  <c r="F34" i="11" s="1"/>
  <c r="E32" i="11"/>
  <c r="D32" i="11" s="1"/>
  <c r="C32" i="11"/>
  <c r="B32" i="11"/>
  <c r="B34" i="11" s="1"/>
  <c r="AQ31" i="11"/>
  <c r="AP31" i="11"/>
  <c r="AO31" i="11"/>
  <c r="AN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U31" i="11"/>
  <c r="T31" i="11"/>
  <c r="S31" i="11"/>
  <c r="Q31" i="11"/>
  <c r="P31" i="11"/>
  <c r="O31" i="11"/>
  <c r="N31" i="11"/>
  <c r="L31" i="11"/>
  <c r="K31" i="11"/>
  <c r="B31" i="11"/>
  <c r="AM30" i="11"/>
  <c r="AM31" i="11" s="1"/>
  <c r="AD30" i="11"/>
  <c r="AD31" i="11" s="1"/>
  <c r="U30" i="11"/>
  <c r="M30" i="11"/>
  <c r="M31" i="11" s="1"/>
  <c r="H30" i="11"/>
  <c r="H31" i="11" s="1"/>
  <c r="G30" i="11"/>
  <c r="F30" i="11"/>
  <c r="F31" i="11" s="1"/>
  <c r="E30" i="11"/>
  <c r="D30" i="11" s="1"/>
  <c r="C30" i="11"/>
  <c r="B30" i="11"/>
  <c r="AM29" i="11"/>
  <c r="AD29" i="11"/>
  <c r="U29" i="11"/>
  <c r="M29" i="11"/>
  <c r="H29" i="11"/>
  <c r="D29" i="11" s="1"/>
  <c r="G29" i="11"/>
  <c r="G31" i="11" s="1"/>
  <c r="F29" i="11"/>
  <c r="E29" i="11"/>
  <c r="C29" i="11"/>
  <c r="C31" i="11" s="1"/>
  <c r="B29" i="11"/>
  <c r="AQ28" i="11"/>
  <c r="AP28" i="11"/>
  <c r="AO28" i="11"/>
  <c r="AN28" i="11"/>
  <c r="AL28" i="11"/>
  <c r="AK28" i="11"/>
  <c r="AH28" i="11"/>
  <c r="AG28" i="11"/>
  <c r="AF28" i="11"/>
  <c r="AE28" i="11"/>
  <c r="AD28" i="11"/>
  <c r="AC28" i="11"/>
  <c r="AB28" i="11"/>
  <c r="Y28" i="11"/>
  <c r="X28" i="11"/>
  <c r="W28" i="11"/>
  <c r="V28" i="11"/>
  <c r="T28" i="11"/>
  <c r="S28" i="11"/>
  <c r="Q28" i="11"/>
  <c r="P28" i="11"/>
  <c r="O28" i="11"/>
  <c r="N28" i="11"/>
  <c r="L28" i="11"/>
  <c r="K28" i="11"/>
  <c r="C28" i="11"/>
  <c r="AM27" i="11"/>
  <c r="AM28" i="11" s="1"/>
  <c r="AD27" i="11"/>
  <c r="U27" i="11"/>
  <c r="U28" i="11" s="1"/>
  <c r="M27" i="11"/>
  <c r="H27" i="11"/>
  <c r="G27" i="11"/>
  <c r="G28" i="11" s="1"/>
  <c r="F27" i="11"/>
  <c r="D27" i="11" s="1"/>
  <c r="D28" i="11" s="1"/>
  <c r="E27" i="11"/>
  <c r="E28" i="11" s="1"/>
  <c r="C27" i="11"/>
  <c r="B27" i="11"/>
  <c r="B28" i="11" s="1"/>
  <c r="AM26" i="11"/>
  <c r="AM20" i="11" s="1"/>
  <c r="AM9" i="11" s="1"/>
  <c r="AD26" i="11"/>
  <c r="U26" i="11"/>
  <c r="M26" i="11"/>
  <c r="M28" i="11" s="1"/>
  <c r="H26" i="11"/>
  <c r="H28" i="11" s="1"/>
  <c r="G26" i="11"/>
  <c r="F26" i="11"/>
  <c r="E26" i="11"/>
  <c r="D26" i="11"/>
  <c r="C26" i="11"/>
  <c r="B26" i="11"/>
  <c r="AQ25" i="11"/>
  <c r="AP25" i="11"/>
  <c r="AO25" i="11"/>
  <c r="AN25" i="11"/>
  <c r="AM25" i="11"/>
  <c r="AL25" i="11"/>
  <c r="AK25" i="11"/>
  <c r="AH25" i="11"/>
  <c r="AG25" i="11"/>
  <c r="AF25" i="11"/>
  <c r="AE25" i="11"/>
  <c r="AC25" i="11"/>
  <c r="AB25" i="11"/>
  <c r="Y25" i="11"/>
  <c r="X25" i="11"/>
  <c r="W25" i="11"/>
  <c r="V25" i="11"/>
  <c r="T25" i="11"/>
  <c r="S25" i="11"/>
  <c r="Q25" i="11"/>
  <c r="P25" i="11"/>
  <c r="O25" i="11"/>
  <c r="N25" i="11"/>
  <c r="M25" i="11" s="1"/>
  <c r="L25" i="11"/>
  <c r="K25" i="11"/>
  <c r="AM24" i="11"/>
  <c r="AD24" i="11"/>
  <c r="AD25" i="11" s="1"/>
  <c r="U24" i="11"/>
  <c r="U25" i="11" s="1"/>
  <c r="M24" i="11"/>
  <c r="H24" i="11"/>
  <c r="H25" i="11" s="1"/>
  <c r="G24" i="11"/>
  <c r="G25" i="11" s="1"/>
  <c r="F24" i="11"/>
  <c r="F25" i="11" s="1"/>
  <c r="E24" i="11"/>
  <c r="D24" i="11" s="1"/>
  <c r="C24" i="11"/>
  <c r="C25" i="11" s="1"/>
  <c r="B24" i="11"/>
  <c r="B25" i="11" s="1"/>
  <c r="AM23" i="11"/>
  <c r="AD23" i="11"/>
  <c r="AD20" i="11" s="1"/>
  <c r="U23" i="11"/>
  <c r="U20" i="11" s="1"/>
  <c r="U9" i="11" s="1"/>
  <c r="M23" i="11"/>
  <c r="H23" i="11"/>
  <c r="G23" i="11"/>
  <c r="F23" i="11"/>
  <c r="E23" i="11"/>
  <c r="D23" i="11" s="1"/>
  <c r="C23" i="11"/>
  <c r="B23" i="11"/>
  <c r="AH22" i="11"/>
  <c r="X22" i="11"/>
  <c r="O22" i="11"/>
  <c r="AQ21" i="11"/>
  <c r="AQ22" i="11" s="1"/>
  <c r="AP21" i="11"/>
  <c r="G21" i="11" s="1"/>
  <c r="AO21" i="11"/>
  <c r="AN21" i="11"/>
  <c r="AN10" i="11" s="1"/>
  <c r="AN11" i="11" s="1"/>
  <c r="AM21" i="11"/>
  <c r="AM10" i="11" s="1"/>
  <c r="AL21" i="11"/>
  <c r="AL22" i="11" s="1"/>
  <c r="AK21" i="11"/>
  <c r="AK10" i="11" s="1"/>
  <c r="AH21" i="11"/>
  <c r="AG21" i="11"/>
  <c r="AG22" i="11" s="1"/>
  <c r="AF21" i="11"/>
  <c r="AF10" i="11" s="1"/>
  <c r="AF11" i="11" s="1"/>
  <c r="AE21" i="11"/>
  <c r="AC21" i="11"/>
  <c r="AC10" i="11" s="1"/>
  <c r="AC11" i="11" s="1"/>
  <c r="AB21" i="11"/>
  <c r="AB22" i="11" s="1"/>
  <c r="Y21" i="11"/>
  <c r="Y10" i="11" s="1"/>
  <c r="Y11" i="11" s="1"/>
  <c r="X21" i="11"/>
  <c r="W21" i="11"/>
  <c r="W22" i="11" s="1"/>
  <c r="V21" i="11"/>
  <c r="V10" i="11" s="1"/>
  <c r="T21" i="11"/>
  <c r="T10" i="11" s="1"/>
  <c r="T11" i="11" s="1"/>
  <c r="S21" i="11"/>
  <c r="S22" i="11" s="1"/>
  <c r="Q21" i="11"/>
  <c r="Q22" i="11" s="1"/>
  <c r="P21" i="11"/>
  <c r="P10" i="11" s="1"/>
  <c r="O21" i="11"/>
  <c r="N21" i="11"/>
  <c r="N22" i="11" s="1"/>
  <c r="M21" i="11"/>
  <c r="M22" i="11" s="1"/>
  <c r="L21" i="11"/>
  <c r="K21" i="11"/>
  <c r="K10" i="11" s="1"/>
  <c r="H21" i="11"/>
  <c r="C21" i="11"/>
  <c r="C22" i="11" s="1"/>
  <c r="AQ20" i="11"/>
  <c r="AQ9" i="11" s="1"/>
  <c r="AP20" i="11"/>
  <c r="AP9" i="11" s="1"/>
  <c r="AO20" i="11"/>
  <c r="AO22" i="11" s="1"/>
  <c r="AN20" i="11"/>
  <c r="AN9" i="11" s="1"/>
  <c r="AL20" i="11"/>
  <c r="AK20" i="11"/>
  <c r="B20" i="11" s="1"/>
  <c r="AH20" i="11"/>
  <c r="AG20" i="11"/>
  <c r="AG9" i="11" s="1"/>
  <c r="AF20" i="11"/>
  <c r="AF9" i="11" s="1"/>
  <c r="AE20" i="11"/>
  <c r="AE22" i="11" s="1"/>
  <c r="AC20" i="11"/>
  <c r="AB20" i="11"/>
  <c r="Y20" i="11"/>
  <c r="Y9" i="11" s="1"/>
  <c r="X20" i="11"/>
  <c r="W20" i="11"/>
  <c r="W9" i="11" s="1"/>
  <c r="V20" i="11"/>
  <c r="V9" i="11" s="1"/>
  <c r="T20" i="11"/>
  <c r="T9" i="11" s="1"/>
  <c r="S20" i="11"/>
  <c r="Q20" i="11"/>
  <c r="H20" i="11" s="1"/>
  <c r="P20" i="11"/>
  <c r="P9" i="11" s="1"/>
  <c r="O20" i="11"/>
  <c r="N20" i="11"/>
  <c r="N9" i="11" s="1"/>
  <c r="M20" i="11"/>
  <c r="L20" i="11"/>
  <c r="L22" i="11" s="1"/>
  <c r="K20" i="11"/>
  <c r="K9" i="11" s="1"/>
  <c r="F20" i="11"/>
  <c r="C20" i="11"/>
  <c r="D19" i="11"/>
  <c r="H18" i="11"/>
  <c r="G18" i="11"/>
  <c r="F18" i="11"/>
  <c r="D18" i="11" s="1"/>
  <c r="E18" i="11"/>
  <c r="C18" i="11"/>
  <c r="B18" i="11"/>
  <c r="AM17" i="11"/>
  <c r="M17" i="11"/>
  <c r="H17" i="11"/>
  <c r="G17" i="11"/>
  <c r="F17" i="11"/>
  <c r="E17" i="11"/>
  <c r="D17" i="11"/>
  <c r="C17" i="11"/>
  <c r="B17" i="11"/>
  <c r="AM16" i="11"/>
  <c r="M16" i="11"/>
  <c r="H16" i="11"/>
  <c r="G16" i="11"/>
  <c r="F16" i="11"/>
  <c r="E16" i="11"/>
  <c r="D16" i="11" s="1"/>
  <c r="C16" i="11"/>
  <c r="B16" i="11"/>
  <c r="AQ15" i="11"/>
  <c r="AP15" i="11"/>
  <c r="AO15" i="11"/>
  <c r="AN15" i="11"/>
  <c r="AM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T15" i="11"/>
  <c r="S15" i="11"/>
  <c r="Q15" i="11"/>
  <c r="P15" i="11"/>
  <c r="O15" i="11"/>
  <c r="N15" i="11"/>
  <c r="L15" i="11"/>
  <c r="K15" i="11"/>
  <c r="H15" i="11"/>
  <c r="AM14" i="11"/>
  <c r="AD14" i="11"/>
  <c r="AD10" i="11" s="1"/>
  <c r="AD11" i="11" s="1"/>
  <c r="U14" i="11"/>
  <c r="U15" i="11" s="1"/>
  <c r="M14" i="11"/>
  <c r="H14" i="11"/>
  <c r="G14" i="11"/>
  <c r="G15" i="11" s="1"/>
  <c r="F14" i="11"/>
  <c r="F15" i="11" s="1"/>
  <c r="E14" i="11"/>
  <c r="C14" i="11"/>
  <c r="C15" i="11" s="1"/>
  <c r="B14" i="11"/>
  <c r="B15" i="11" s="1"/>
  <c r="AM13" i="11"/>
  <c r="AD13" i="11"/>
  <c r="AD9" i="11" s="1"/>
  <c r="U13" i="11"/>
  <c r="M13" i="11"/>
  <c r="M15" i="11" s="1"/>
  <c r="H13" i="11"/>
  <c r="G13" i="11"/>
  <c r="F13" i="11"/>
  <c r="D13" i="11" s="1"/>
  <c r="E13" i="11"/>
  <c r="E15" i="11" s="1"/>
  <c r="C13" i="11"/>
  <c r="B13" i="11"/>
  <c r="AQ10" i="11"/>
  <c r="AQ11" i="11" s="1"/>
  <c r="AO10" i="11"/>
  <c r="AL10" i="11"/>
  <c r="AL11" i="11" s="1"/>
  <c r="AH10" i="11"/>
  <c r="AH11" i="11" s="1"/>
  <c r="AG10" i="11"/>
  <c r="AE10" i="11"/>
  <c r="AB10" i="11"/>
  <c r="AB11" i="11" s="1"/>
  <c r="X10" i="11"/>
  <c r="X11" i="11" s="1"/>
  <c r="W10" i="11"/>
  <c r="Q10" i="11"/>
  <c r="Q11" i="11" s="1"/>
  <c r="O10" i="11"/>
  <c r="O11" i="11" s="1"/>
  <c r="N10" i="11"/>
  <c r="L10" i="11"/>
  <c r="C10" i="11" s="1"/>
  <c r="C11" i="11" s="1"/>
  <c r="AO9" i="11"/>
  <c r="AO11" i="11" s="1"/>
  <c r="AL9" i="11"/>
  <c r="AH9" i="11"/>
  <c r="AE9" i="11"/>
  <c r="AE11" i="11" s="1"/>
  <c r="AC9" i="11"/>
  <c r="AB9" i="11"/>
  <c r="X9" i="11"/>
  <c r="S9" i="11"/>
  <c r="Q9" i="11"/>
  <c r="H9" i="11" s="1"/>
  <c r="O9" i="11"/>
  <c r="F9" i="11" s="1"/>
  <c r="L9" i="11"/>
  <c r="C9" i="11" s="1"/>
  <c r="AQ40" i="20"/>
  <c r="AP40" i="20"/>
  <c r="AO40" i="20"/>
  <c r="AN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U40" i="20"/>
  <c r="T40" i="20"/>
  <c r="S40" i="20"/>
  <c r="Q40" i="20"/>
  <c r="P40" i="20"/>
  <c r="O40" i="20"/>
  <c r="N40" i="20"/>
  <c r="L40" i="20"/>
  <c r="K40" i="20"/>
  <c r="F40" i="20"/>
  <c r="E40" i="20"/>
  <c r="B40" i="20"/>
  <c r="AM39" i="20"/>
  <c r="AM40" i="20" s="1"/>
  <c r="AD39" i="20"/>
  <c r="U39" i="20"/>
  <c r="M39" i="20"/>
  <c r="M40" i="20" s="1"/>
  <c r="H39" i="20"/>
  <c r="D39" i="20" s="1"/>
  <c r="D40" i="20" s="1"/>
  <c r="G39" i="20"/>
  <c r="G40" i="20" s="1"/>
  <c r="F39" i="20"/>
  <c r="E39" i="20"/>
  <c r="C39" i="20"/>
  <c r="C40" i="20" s="1"/>
  <c r="B39" i="20"/>
  <c r="AM38" i="20"/>
  <c r="AD38" i="20"/>
  <c r="AD40" i="20" s="1"/>
  <c r="U38" i="20"/>
  <c r="M38" i="20"/>
  <c r="H38" i="20"/>
  <c r="G38" i="20"/>
  <c r="F38" i="20"/>
  <c r="E38" i="20"/>
  <c r="D38" i="20"/>
  <c r="C38" i="20"/>
  <c r="C20" i="20" s="1"/>
  <c r="B38" i="20"/>
  <c r="AQ37" i="20"/>
  <c r="AP37" i="20"/>
  <c r="AO37" i="20"/>
  <c r="AN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G37" i="20"/>
  <c r="F37" i="20"/>
  <c r="C37" i="20"/>
  <c r="AM36" i="20"/>
  <c r="AM37" i="20" s="1"/>
  <c r="AD36" i="20"/>
  <c r="AD37" i="20" s="1"/>
  <c r="U36" i="20"/>
  <c r="U37" i="20" s="1"/>
  <c r="M36" i="20"/>
  <c r="M37" i="20" s="1"/>
  <c r="H36" i="20"/>
  <c r="H37" i="20" s="1"/>
  <c r="G36" i="20"/>
  <c r="F36" i="20"/>
  <c r="E36" i="20"/>
  <c r="E37" i="20" s="1"/>
  <c r="C36" i="20"/>
  <c r="B36" i="20"/>
  <c r="B37" i="20" s="1"/>
  <c r="AM35" i="20"/>
  <c r="AD35" i="20"/>
  <c r="U35" i="20"/>
  <c r="M35" i="20"/>
  <c r="H35" i="20"/>
  <c r="G35" i="20"/>
  <c r="F35" i="20"/>
  <c r="E35" i="20"/>
  <c r="D35" i="20"/>
  <c r="C35" i="20"/>
  <c r="B35" i="20"/>
  <c r="AQ34" i="20"/>
  <c r="AP34" i="20"/>
  <c r="AO34" i="20"/>
  <c r="AN34" i="20"/>
  <c r="AM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H34" i="20"/>
  <c r="G34" i="20"/>
  <c r="AM33" i="20"/>
  <c r="AD33" i="20"/>
  <c r="AD34" i="20" s="1"/>
  <c r="U33" i="20"/>
  <c r="U34" i="20" s="1"/>
  <c r="M33" i="20"/>
  <c r="H33" i="20"/>
  <c r="G33" i="20"/>
  <c r="F33" i="20"/>
  <c r="F34" i="20" s="1"/>
  <c r="E33" i="20"/>
  <c r="E34" i="20" s="1"/>
  <c r="C33" i="20"/>
  <c r="C34" i="20" s="1"/>
  <c r="B33" i="20"/>
  <c r="B21" i="20" s="1"/>
  <c r="AM32" i="20"/>
  <c r="AD32" i="20"/>
  <c r="U32" i="20"/>
  <c r="M32" i="20"/>
  <c r="M34" i="20" s="1"/>
  <c r="H32" i="20"/>
  <c r="G32" i="20"/>
  <c r="F32" i="20"/>
  <c r="E32" i="20"/>
  <c r="D32" i="20" s="1"/>
  <c r="C32" i="20"/>
  <c r="B32" i="20"/>
  <c r="AQ31" i="20"/>
  <c r="AP31" i="20"/>
  <c r="AO31" i="20"/>
  <c r="AN31" i="20"/>
  <c r="AM31" i="20"/>
  <c r="AL31" i="20"/>
  <c r="AK31" i="20"/>
  <c r="AH31" i="20"/>
  <c r="AG31" i="20"/>
  <c r="AF31" i="20"/>
  <c r="AE31" i="20"/>
  <c r="AC31" i="20"/>
  <c r="AB31" i="20"/>
  <c r="Y31" i="20"/>
  <c r="X31" i="20"/>
  <c r="W31" i="20"/>
  <c r="V31" i="20"/>
  <c r="T31" i="20"/>
  <c r="S31" i="20"/>
  <c r="Q31" i="20"/>
  <c r="P31" i="20"/>
  <c r="O31" i="20"/>
  <c r="N31" i="20"/>
  <c r="L31" i="20"/>
  <c r="K31" i="20"/>
  <c r="H31" i="20"/>
  <c r="AM30" i="20"/>
  <c r="AD30" i="20"/>
  <c r="AD31" i="20" s="1"/>
  <c r="U30" i="20"/>
  <c r="M30" i="20"/>
  <c r="M31" i="20" s="1"/>
  <c r="H30" i="20"/>
  <c r="G30" i="20"/>
  <c r="G31" i="20" s="1"/>
  <c r="F30" i="20"/>
  <c r="F31" i="20" s="1"/>
  <c r="E30" i="20"/>
  <c r="E31" i="20" s="1"/>
  <c r="D30" i="20"/>
  <c r="C30" i="20"/>
  <c r="C21" i="20" s="1"/>
  <c r="B30" i="20"/>
  <c r="AM29" i="20"/>
  <c r="AD29" i="20"/>
  <c r="U29" i="20"/>
  <c r="U31" i="20" s="1"/>
  <c r="M29" i="20"/>
  <c r="H29" i="20"/>
  <c r="G29" i="20"/>
  <c r="F29" i="20"/>
  <c r="F20" i="20" s="1"/>
  <c r="F9" i="20" s="1"/>
  <c r="E29" i="20"/>
  <c r="D29" i="20" s="1"/>
  <c r="C29" i="20"/>
  <c r="B29" i="20"/>
  <c r="B31" i="20" s="1"/>
  <c r="AQ28" i="20"/>
  <c r="AP28" i="20"/>
  <c r="AO28" i="20"/>
  <c r="AN28" i="20"/>
  <c r="AL28" i="20"/>
  <c r="AK28" i="20"/>
  <c r="AH28" i="20"/>
  <c r="AG28" i="20"/>
  <c r="AF28" i="20"/>
  <c r="AE28" i="20"/>
  <c r="AD28" i="20"/>
  <c r="AC28" i="20"/>
  <c r="AB28" i="20"/>
  <c r="Y28" i="20"/>
  <c r="X28" i="20"/>
  <c r="W28" i="20"/>
  <c r="V28" i="20"/>
  <c r="U28" i="20"/>
  <c r="T28" i="20"/>
  <c r="S28" i="20"/>
  <c r="Q28" i="20"/>
  <c r="P28" i="20"/>
  <c r="O28" i="20"/>
  <c r="N28" i="20"/>
  <c r="L28" i="20"/>
  <c r="K28" i="20"/>
  <c r="B28" i="20"/>
  <c r="AM27" i="20"/>
  <c r="AM28" i="20" s="1"/>
  <c r="AD27" i="20"/>
  <c r="U27" i="20"/>
  <c r="M27" i="20"/>
  <c r="H27" i="20"/>
  <c r="H28" i="20" s="1"/>
  <c r="G27" i="20"/>
  <c r="G28" i="20" s="1"/>
  <c r="F27" i="20"/>
  <c r="F28" i="20" s="1"/>
  <c r="E27" i="20"/>
  <c r="E28" i="20" s="1"/>
  <c r="D27" i="20"/>
  <c r="C27" i="20"/>
  <c r="B27" i="20"/>
  <c r="AM26" i="20"/>
  <c r="AD26" i="20"/>
  <c r="U26" i="20"/>
  <c r="M26" i="20"/>
  <c r="M28" i="20" s="1"/>
  <c r="H26" i="20"/>
  <c r="G26" i="20"/>
  <c r="G20" i="20" s="1"/>
  <c r="F26" i="20"/>
  <c r="E26" i="20"/>
  <c r="C26" i="20"/>
  <c r="C28" i="20" s="1"/>
  <c r="B26" i="20"/>
  <c r="AQ25" i="20"/>
  <c r="AP25" i="20"/>
  <c r="AO25" i="20"/>
  <c r="AN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U25" i="20"/>
  <c r="T25" i="20"/>
  <c r="S25" i="20"/>
  <c r="Q25" i="20"/>
  <c r="P25" i="20"/>
  <c r="O25" i="20"/>
  <c r="N25" i="20"/>
  <c r="L25" i="20"/>
  <c r="K25" i="20"/>
  <c r="C25" i="20"/>
  <c r="B25" i="20"/>
  <c r="AM24" i="20"/>
  <c r="AM25" i="20" s="1"/>
  <c r="AD24" i="20"/>
  <c r="AD25" i="20" s="1"/>
  <c r="U24" i="20"/>
  <c r="M24" i="20"/>
  <c r="H24" i="20"/>
  <c r="H25" i="20" s="1"/>
  <c r="G24" i="20"/>
  <c r="G25" i="20" s="1"/>
  <c r="F24" i="20"/>
  <c r="F25" i="20" s="1"/>
  <c r="E24" i="20"/>
  <c r="D24" i="20" s="1"/>
  <c r="C24" i="20"/>
  <c r="B24" i="20"/>
  <c r="AM23" i="20"/>
  <c r="AD23" i="20"/>
  <c r="U23" i="20"/>
  <c r="M23" i="20"/>
  <c r="M25" i="20" s="1"/>
  <c r="H23" i="20"/>
  <c r="H20" i="20" s="1"/>
  <c r="H9" i="20" s="1"/>
  <c r="G23" i="20"/>
  <c r="F23" i="20"/>
  <c r="E23" i="20"/>
  <c r="C23" i="20"/>
  <c r="B23" i="20"/>
  <c r="AQ22" i="20"/>
  <c r="AP22" i="20"/>
  <c r="AG22" i="20"/>
  <c r="AF22" i="20"/>
  <c r="W22" i="20"/>
  <c r="V22" i="20"/>
  <c r="N22" i="20"/>
  <c r="AQ21" i="20"/>
  <c r="AP21" i="20"/>
  <c r="AO21" i="20"/>
  <c r="AO22" i="20" s="1"/>
  <c r="AN21" i="20"/>
  <c r="AN22" i="20" s="1"/>
  <c r="AM21" i="20"/>
  <c r="AL21" i="20"/>
  <c r="AL10" i="20" s="1"/>
  <c r="AL11" i="20" s="1"/>
  <c r="AK21" i="20"/>
  <c r="AK10" i="20" s="1"/>
  <c r="AK11" i="20" s="1"/>
  <c r="AH21" i="20"/>
  <c r="AG21" i="20"/>
  <c r="AF21" i="20"/>
  <c r="AE21" i="20"/>
  <c r="AE22" i="20" s="1"/>
  <c r="AC21" i="20"/>
  <c r="AC10" i="20" s="1"/>
  <c r="AC11" i="20" s="1"/>
  <c r="AB21" i="20"/>
  <c r="AB22" i="20" s="1"/>
  <c r="Y21" i="20"/>
  <c r="Y10" i="20" s="1"/>
  <c r="X21" i="20"/>
  <c r="W21" i="20"/>
  <c r="V21" i="20"/>
  <c r="T21" i="20"/>
  <c r="T22" i="20" s="1"/>
  <c r="S21" i="20"/>
  <c r="S10" i="20" s="1"/>
  <c r="S11" i="20" s="1"/>
  <c r="Q21" i="20"/>
  <c r="Q10" i="20" s="1"/>
  <c r="Q11" i="20" s="1"/>
  <c r="P21" i="20"/>
  <c r="M21" i="20" s="1"/>
  <c r="M22" i="20" s="1"/>
  <c r="O21" i="20"/>
  <c r="N21" i="20"/>
  <c r="L21" i="20"/>
  <c r="L22" i="20" s="1"/>
  <c r="K21" i="20"/>
  <c r="K22" i="20" s="1"/>
  <c r="G21" i="20"/>
  <c r="G10" i="20" s="1"/>
  <c r="F21" i="20"/>
  <c r="F10" i="20" s="1"/>
  <c r="F11" i="20" s="1"/>
  <c r="AQ20" i="20"/>
  <c r="AP20" i="20"/>
  <c r="AP9" i="20" s="1"/>
  <c r="AO20" i="20"/>
  <c r="AO9" i="20" s="1"/>
  <c r="AN20" i="20"/>
  <c r="AM20" i="20" s="1"/>
  <c r="AL20" i="20"/>
  <c r="AK20" i="20"/>
  <c r="AH20" i="20"/>
  <c r="AH22" i="20" s="1"/>
  <c r="AG20" i="20"/>
  <c r="AF20" i="20"/>
  <c r="AF9" i="20" s="1"/>
  <c r="AE20" i="20"/>
  <c r="AE9" i="20" s="1"/>
  <c r="AD9" i="20" s="1"/>
  <c r="AD20" i="20"/>
  <c r="AC20" i="20"/>
  <c r="AB20" i="20"/>
  <c r="Y20" i="20"/>
  <c r="X20" i="20"/>
  <c r="X22" i="20" s="1"/>
  <c r="W20" i="20"/>
  <c r="V20" i="20"/>
  <c r="V9" i="20" s="1"/>
  <c r="U9" i="20" s="1"/>
  <c r="U20" i="20"/>
  <c r="T20" i="20"/>
  <c r="T9" i="20" s="1"/>
  <c r="S20" i="20"/>
  <c r="Q20" i="20"/>
  <c r="P20" i="20"/>
  <c r="O20" i="20"/>
  <c r="O22" i="20" s="1"/>
  <c r="N20" i="20"/>
  <c r="M20" i="20"/>
  <c r="L20" i="20"/>
  <c r="L9" i="20" s="1"/>
  <c r="K20" i="20"/>
  <c r="K9" i="20" s="1"/>
  <c r="B20" i="20"/>
  <c r="B9" i="20" s="1"/>
  <c r="AM18" i="20"/>
  <c r="AD18" i="20"/>
  <c r="U18" i="20"/>
  <c r="M18" i="20"/>
  <c r="H18" i="20"/>
  <c r="G18" i="20"/>
  <c r="F18" i="20"/>
  <c r="E18" i="20"/>
  <c r="D18" i="20"/>
  <c r="C18" i="20"/>
  <c r="B18" i="20"/>
  <c r="AM17" i="20"/>
  <c r="AD17" i="20"/>
  <c r="U17" i="20"/>
  <c r="M17" i="20"/>
  <c r="H17" i="20"/>
  <c r="G17" i="20"/>
  <c r="D17" i="20" s="1"/>
  <c r="F17" i="20"/>
  <c r="E17" i="20"/>
  <c r="C17" i="20"/>
  <c r="B17" i="20"/>
  <c r="AM16" i="20"/>
  <c r="AD16" i="20"/>
  <c r="U16" i="20"/>
  <c r="M16" i="20"/>
  <c r="H16" i="20"/>
  <c r="G16" i="20"/>
  <c r="F16" i="20"/>
  <c r="E16" i="20"/>
  <c r="D16" i="20"/>
  <c r="C16" i="20"/>
  <c r="B16" i="20"/>
  <c r="AQ15" i="20"/>
  <c r="AP15" i="20"/>
  <c r="AO15" i="20"/>
  <c r="AN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T15" i="20"/>
  <c r="S15" i="20"/>
  <c r="Q15" i="20"/>
  <c r="P15" i="20"/>
  <c r="O15" i="20"/>
  <c r="N15" i="20"/>
  <c r="L15" i="20"/>
  <c r="K15" i="20"/>
  <c r="G15" i="20"/>
  <c r="F15" i="20"/>
  <c r="E15" i="20"/>
  <c r="AM14" i="20"/>
  <c r="AM15" i="20" s="1"/>
  <c r="AD14" i="20"/>
  <c r="U14" i="20"/>
  <c r="U15" i="20" s="1"/>
  <c r="M14" i="20"/>
  <c r="M15" i="20" s="1"/>
  <c r="H14" i="20"/>
  <c r="G14" i="20"/>
  <c r="F14" i="20"/>
  <c r="E14" i="20"/>
  <c r="C14" i="20"/>
  <c r="C15" i="20" s="1"/>
  <c r="B14" i="20"/>
  <c r="B15" i="20" s="1"/>
  <c r="AM13" i="20"/>
  <c r="AD13" i="20"/>
  <c r="AD15" i="20" s="1"/>
  <c r="U13" i="20"/>
  <c r="M13" i="20"/>
  <c r="H13" i="20"/>
  <c r="G13" i="20"/>
  <c r="G9" i="20" s="1"/>
  <c r="F13" i="20"/>
  <c r="E13" i="20"/>
  <c r="D13" i="20"/>
  <c r="C13" i="20"/>
  <c r="B13" i="20"/>
  <c r="AQ10" i="20"/>
  <c r="AQ11" i="20" s="1"/>
  <c r="AP10" i="20"/>
  <c r="AP11" i="20" s="1"/>
  <c r="AO10" i="20"/>
  <c r="AO11" i="20" s="1"/>
  <c r="AN10" i="20"/>
  <c r="AM10" i="20" s="1"/>
  <c r="AH10" i="20"/>
  <c r="AH11" i="20" s="1"/>
  <c r="AG10" i="20"/>
  <c r="AG11" i="20" s="1"/>
  <c r="AF10" i="20"/>
  <c r="AF11" i="20" s="1"/>
  <c r="AE10" i="20"/>
  <c r="AE11" i="20" s="1"/>
  <c r="AD10" i="20"/>
  <c r="X10" i="20"/>
  <c r="X11" i="20" s="1"/>
  <c r="W10" i="20"/>
  <c r="W11" i="20" s="1"/>
  <c r="V10" i="20"/>
  <c r="V11" i="20" s="1"/>
  <c r="T10" i="20"/>
  <c r="O10" i="20"/>
  <c r="O11" i="20" s="1"/>
  <c r="N10" i="20"/>
  <c r="N11" i="20" s="1"/>
  <c r="L10" i="20"/>
  <c r="L11" i="20" s="1"/>
  <c r="K10" i="20"/>
  <c r="AQ9" i="20"/>
  <c r="AL9" i="20"/>
  <c r="AK9" i="20"/>
  <c r="AH9" i="20"/>
  <c r="AG9" i="20"/>
  <c r="AC9" i="20"/>
  <c r="AB9" i="20"/>
  <c r="Y9" i="20"/>
  <c r="X9" i="20"/>
  <c r="W9" i="20"/>
  <c r="S9" i="20"/>
  <c r="Q9" i="20"/>
  <c r="P9" i="20"/>
  <c r="O9" i="20"/>
  <c r="N9" i="20"/>
  <c r="M9" i="20" s="1"/>
  <c r="W11" i="11" l="1"/>
  <c r="P11" i="11"/>
  <c r="G10" i="11"/>
  <c r="G11" i="11" s="1"/>
  <c r="AM11" i="11"/>
  <c r="D31" i="11"/>
  <c r="D20" i="11"/>
  <c r="AG11" i="11"/>
  <c r="E9" i="11"/>
  <c r="K11" i="11"/>
  <c r="M10" i="11"/>
  <c r="V11" i="11"/>
  <c r="H22" i="11"/>
  <c r="D9" i="11"/>
  <c r="G9" i="11"/>
  <c r="E10" i="11"/>
  <c r="L11" i="11"/>
  <c r="D14" i="11"/>
  <c r="D15" i="11" s="1"/>
  <c r="AD15" i="11"/>
  <c r="P22" i="11"/>
  <c r="Y22" i="11"/>
  <c r="AK22" i="11"/>
  <c r="E25" i="11"/>
  <c r="D25" i="11" s="1"/>
  <c r="D36" i="11"/>
  <c r="D37" i="11" s="1"/>
  <c r="D38" i="11"/>
  <c r="F10" i="11"/>
  <c r="F11" i="11" s="1"/>
  <c r="E20" i="11"/>
  <c r="B21" i="11"/>
  <c r="B22" i="11" s="1"/>
  <c r="U21" i="11"/>
  <c r="AC22" i="11"/>
  <c r="AM22" i="11"/>
  <c r="F28" i="11"/>
  <c r="E31" i="11"/>
  <c r="M9" i="11"/>
  <c r="H10" i="11"/>
  <c r="H11" i="11" s="1"/>
  <c r="S10" i="11"/>
  <c r="S11" i="11" s="1"/>
  <c r="G20" i="11"/>
  <c r="G22" i="11" s="1"/>
  <c r="K22" i="11"/>
  <c r="T22" i="11"/>
  <c r="AN22" i="11"/>
  <c r="D39" i="11"/>
  <c r="D40" i="11" s="1"/>
  <c r="E21" i="11"/>
  <c r="F21" i="11"/>
  <c r="F22" i="11" s="1"/>
  <c r="V22" i="11"/>
  <c r="AF22" i="11"/>
  <c r="AP22" i="11"/>
  <c r="N11" i="11"/>
  <c r="AK9" i="11"/>
  <c r="AK11" i="11" s="1"/>
  <c r="AP10" i="11"/>
  <c r="AP11" i="11" s="1"/>
  <c r="B22" i="20"/>
  <c r="B10" i="20"/>
  <c r="B11" i="20" s="1"/>
  <c r="K11" i="20"/>
  <c r="AD11" i="20"/>
  <c r="H10" i="20"/>
  <c r="H11" i="20" s="1"/>
  <c r="C10" i="20"/>
  <c r="C11" i="20" s="1"/>
  <c r="C22" i="20"/>
  <c r="C9" i="20"/>
  <c r="U10" i="20"/>
  <c r="U11" i="20" s="1"/>
  <c r="Y11" i="20"/>
  <c r="D28" i="20"/>
  <c r="D31" i="20"/>
  <c r="G11" i="20"/>
  <c r="AM22" i="20"/>
  <c r="D25" i="20"/>
  <c r="T11" i="20"/>
  <c r="H21" i="20"/>
  <c r="H22" i="20" s="1"/>
  <c r="D33" i="20"/>
  <c r="D34" i="20" s="1"/>
  <c r="H15" i="20"/>
  <c r="AD21" i="20"/>
  <c r="AD22" i="20" s="1"/>
  <c r="F22" i="20"/>
  <c r="P22" i="20"/>
  <c r="Y22" i="20"/>
  <c r="AK22" i="20"/>
  <c r="E25" i="20"/>
  <c r="C31" i="20"/>
  <c r="B34" i="20"/>
  <c r="D36" i="20"/>
  <c r="D37" i="20" s="1"/>
  <c r="H40" i="20"/>
  <c r="AL22" i="20"/>
  <c r="E20" i="20"/>
  <c r="U21" i="20"/>
  <c r="U22" i="20" s="1"/>
  <c r="Q22" i="20"/>
  <c r="D23" i="20"/>
  <c r="AN9" i="20"/>
  <c r="AM9" i="20" s="1"/>
  <c r="AM11" i="20" s="1"/>
  <c r="P10" i="20"/>
  <c r="S22" i="20"/>
  <c r="AC22" i="20"/>
  <c r="D26" i="20"/>
  <c r="G22" i="20"/>
  <c r="AB10" i="20"/>
  <c r="AB11" i="20" s="1"/>
  <c r="D14" i="20"/>
  <c r="D15" i="20" s="1"/>
  <c r="E21" i="20"/>
  <c r="U10" i="11" l="1"/>
  <c r="U11" i="11" s="1"/>
  <c r="U22" i="11"/>
  <c r="M11" i="11"/>
  <c r="D21" i="11"/>
  <c r="D22" i="11" s="1"/>
  <c r="E22" i="11"/>
  <c r="E11" i="11"/>
  <c r="D10" i="11"/>
  <c r="D11" i="11" s="1"/>
  <c r="B10" i="11"/>
  <c r="B11" i="11" s="1"/>
  <c r="B9" i="11"/>
  <c r="E10" i="20"/>
  <c r="D21" i="20"/>
  <c r="E22" i="20"/>
  <c r="AN11" i="20"/>
  <c r="P11" i="20"/>
  <c r="M10" i="20"/>
  <c r="M11" i="20" s="1"/>
  <c r="E9" i="20"/>
  <c r="D9" i="20" s="1"/>
  <c r="D20" i="20"/>
  <c r="D22" i="20" l="1"/>
  <c r="E11" i="20"/>
  <c r="D10" i="20"/>
  <c r="D11" i="20" s="1"/>
  <c r="AQ40" i="3" l="1"/>
  <c r="AP40" i="3"/>
  <c r="AO40" i="3"/>
  <c r="AL40" i="3"/>
  <c r="AK40" i="3"/>
  <c r="AH40" i="3"/>
  <c r="AF40" i="3"/>
  <c r="AE40" i="3"/>
  <c r="AC40" i="3"/>
  <c r="AB40" i="3"/>
  <c r="Y40" i="3"/>
  <c r="X40" i="3"/>
  <c r="W40" i="3"/>
  <c r="V40" i="3"/>
  <c r="T40" i="3"/>
  <c r="S40" i="3"/>
  <c r="Q40" i="3"/>
  <c r="P40" i="3"/>
  <c r="O40" i="3"/>
  <c r="N40" i="3"/>
  <c r="L40" i="3"/>
  <c r="K40" i="3"/>
  <c r="E40" i="3"/>
  <c r="AM39" i="3"/>
  <c r="AM40" i="3" s="1"/>
  <c r="AD39" i="3"/>
  <c r="AD40" i="3" s="1"/>
  <c r="U39" i="3"/>
  <c r="M39" i="3"/>
  <c r="M40" i="3" s="1"/>
  <c r="H39" i="3"/>
  <c r="H40" i="3" s="1"/>
  <c r="G39" i="3"/>
  <c r="G40" i="3" s="1"/>
  <c r="F39" i="3"/>
  <c r="F40" i="3" s="1"/>
  <c r="E39" i="3"/>
  <c r="D39" i="3" s="1"/>
  <c r="D40" i="3" s="1"/>
  <c r="C39" i="3"/>
  <c r="C40" i="3" s="1"/>
  <c r="B39" i="3"/>
  <c r="AD38" i="3"/>
  <c r="U38" i="3"/>
  <c r="U40" i="3" s="1"/>
  <c r="M38" i="3"/>
  <c r="D38" i="3" s="1"/>
  <c r="H38" i="3"/>
  <c r="G38" i="3"/>
  <c r="F38" i="3"/>
  <c r="E38" i="3"/>
  <c r="C38" i="3"/>
  <c r="B38" i="3"/>
  <c r="B40" i="3" s="1"/>
  <c r="AQ37" i="3"/>
  <c r="AO37" i="3"/>
  <c r="AM37" i="3"/>
  <c r="AL37" i="3"/>
  <c r="AK37" i="3"/>
  <c r="AB37" i="3"/>
  <c r="Y37" i="3"/>
  <c r="X37" i="3"/>
  <c r="W37" i="3"/>
  <c r="V37" i="3"/>
  <c r="T37" i="3"/>
  <c r="S37" i="3"/>
  <c r="E37" i="3"/>
  <c r="AM36" i="3"/>
  <c r="AD36" i="3"/>
  <c r="U36" i="3"/>
  <c r="M36" i="3"/>
  <c r="H36" i="3"/>
  <c r="H37" i="3" s="1"/>
  <c r="G36" i="3"/>
  <c r="G37" i="3" s="1"/>
  <c r="F36" i="3"/>
  <c r="F37" i="3" s="1"/>
  <c r="E36" i="3"/>
  <c r="D36" i="3" s="1"/>
  <c r="D37" i="3" s="1"/>
  <c r="C36" i="3"/>
  <c r="C37" i="3" s="1"/>
  <c r="B36" i="3"/>
  <c r="U35" i="3"/>
  <c r="M35" i="3"/>
  <c r="D35" i="3" s="1"/>
  <c r="H35" i="3"/>
  <c r="G35" i="3"/>
  <c r="F35" i="3"/>
  <c r="E35" i="3"/>
  <c r="C35" i="3"/>
  <c r="B35" i="3"/>
  <c r="B37" i="3" s="1"/>
  <c r="AH34" i="3"/>
  <c r="AG34" i="3"/>
  <c r="AF34" i="3"/>
  <c r="AE34" i="3"/>
  <c r="AC34" i="3"/>
  <c r="AB34" i="3"/>
  <c r="Y34" i="3"/>
  <c r="X34" i="3"/>
  <c r="W34" i="3"/>
  <c r="V34" i="3"/>
  <c r="U34" i="3"/>
  <c r="T34" i="3"/>
  <c r="S34" i="3"/>
  <c r="E34" i="3"/>
  <c r="B34" i="3"/>
  <c r="AM33" i="3"/>
  <c r="AD33" i="3"/>
  <c r="U33" i="3"/>
  <c r="M33" i="3"/>
  <c r="H33" i="3"/>
  <c r="H34" i="3" s="1"/>
  <c r="G33" i="3"/>
  <c r="G34" i="3" s="1"/>
  <c r="F33" i="3"/>
  <c r="F34" i="3" s="1"/>
  <c r="E33" i="3"/>
  <c r="D33" i="3" s="1"/>
  <c r="D34" i="3" s="1"/>
  <c r="C33" i="3"/>
  <c r="C34" i="3" s="1"/>
  <c r="B33" i="3"/>
  <c r="AM32" i="3"/>
  <c r="AM20" i="3" s="1"/>
  <c r="AD32" i="3"/>
  <c r="U32" i="3"/>
  <c r="M32" i="3"/>
  <c r="H32" i="3"/>
  <c r="G32" i="3"/>
  <c r="F32" i="3"/>
  <c r="E32" i="3"/>
  <c r="D32" i="3"/>
  <c r="C32" i="3"/>
  <c r="B32" i="3"/>
  <c r="AQ31" i="3"/>
  <c r="AO31" i="3"/>
  <c r="AL31" i="3"/>
  <c r="AK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G31" i="3"/>
  <c r="F31" i="3"/>
  <c r="AM30" i="3"/>
  <c r="AM31" i="3" s="1"/>
  <c r="AD30" i="3"/>
  <c r="U30" i="3"/>
  <c r="U31" i="3" s="1"/>
  <c r="M30" i="3"/>
  <c r="M31" i="3" s="1"/>
  <c r="H30" i="3"/>
  <c r="H31" i="3" s="1"/>
  <c r="G30" i="3"/>
  <c r="F30" i="3"/>
  <c r="E30" i="3"/>
  <c r="E31" i="3" s="1"/>
  <c r="D30" i="3"/>
  <c r="D31" i="3" s="1"/>
  <c r="C30" i="3"/>
  <c r="B30" i="3"/>
  <c r="B31" i="3" s="1"/>
  <c r="AD29" i="3"/>
  <c r="U29" i="3"/>
  <c r="M29" i="3"/>
  <c r="H29" i="3"/>
  <c r="G29" i="3"/>
  <c r="F29" i="3"/>
  <c r="E29" i="3"/>
  <c r="D29" i="3"/>
  <c r="C29" i="3"/>
  <c r="C31" i="3" s="1"/>
  <c r="B29" i="3"/>
  <c r="AQ28" i="3"/>
  <c r="AO28" i="3"/>
  <c r="AL28" i="3"/>
  <c r="AK28" i="3"/>
  <c r="AB28" i="3"/>
  <c r="Y28" i="3"/>
  <c r="X28" i="3"/>
  <c r="W28" i="3"/>
  <c r="V28" i="3"/>
  <c r="T28" i="3"/>
  <c r="S28" i="3"/>
  <c r="Q28" i="3"/>
  <c r="O28" i="3"/>
  <c r="N28" i="3"/>
  <c r="L28" i="3"/>
  <c r="K28" i="3"/>
  <c r="F28" i="3"/>
  <c r="E28" i="3"/>
  <c r="AM27" i="3"/>
  <c r="AM28" i="3" s="1"/>
  <c r="AD27" i="3"/>
  <c r="U27" i="3"/>
  <c r="U28" i="3" s="1"/>
  <c r="M27" i="3"/>
  <c r="M28" i="3" s="1"/>
  <c r="H27" i="3"/>
  <c r="H28" i="3" s="1"/>
  <c r="G27" i="3"/>
  <c r="G28" i="3" s="1"/>
  <c r="F27" i="3"/>
  <c r="E27" i="3"/>
  <c r="D27" i="3" s="1"/>
  <c r="D28" i="3" s="1"/>
  <c r="C27" i="3"/>
  <c r="C28" i="3" s="1"/>
  <c r="B27" i="3"/>
  <c r="AD26" i="3"/>
  <c r="U26" i="3"/>
  <c r="D26" i="3" s="1"/>
  <c r="D20" i="3" s="1"/>
  <c r="D9" i="3" s="1"/>
  <c r="M26" i="3"/>
  <c r="H26" i="3"/>
  <c r="G26" i="3"/>
  <c r="G20" i="3" s="1"/>
  <c r="G9" i="3" s="1"/>
  <c r="F26" i="3"/>
  <c r="E26" i="3"/>
  <c r="E20" i="3" s="1"/>
  <c r="C26" i="3"/>
  <c r="B26" i="3"/>
  <c r="B28" i="3" s="1"/>
  <c r="AQ25" i="3"/>
  <c r="AP25" i="3"/>
  <c r="AO25" i="3"/>
  <c r="AL25" i="3"/>
  <c r="AK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G25" i="3"/>
  <c r="F25" i="3"/>
  <c r="AM24" i="3"/>
  <c r="AM25" i="3" s="1"/>
  <c r="AD24" i="3"/>
  <c r="U24" i="3"/>
  <c r="U25" i="3" s="1"/>
  <c r="M24" i="3"/>
  <c r="M25" i="3" s="1"/>
  <c r="H24" i="3"/>
  <c r="H25" i="3" s="1"/>
  <c r="G24" i="3"/>
  <c r="D24" i="3" s="1"/>
  <c r="F24" i="3"/>
  <c r="E24" i="3"/>
  <c r="E25" i="3" s="1"/>
  <c r="C24" i="3"/>
  <c r="B24" i="3"/>
  <c r="B25" i="3" s="1"/>
  <c r="AD23" i="3"/>
  <c r="AD20" i="3" s="1"/>
  <c r="U23" i="3"/>
  <c r="M23" i="3"/>
  <c r="H23" i="3"/>
  <c r="G23" i="3"/>
  <c r="F23" i="3"/>
  <c r="E23" i="3"/>
  <c r="D23" i="3"/>
  <c r="C23" i="3"/>
  <c r="C25" i="3" s="1"/>
  <c r="B23" i="3"/>
  <c r="AH22" i="3"/>
  <c r="AE22" i="3"/>
  <c r="X22" i="3"/>
  <c r="O22" i="3"/>
  <c r="L22" i="3"/>
  <c r="AQ21" i="3"/>
  <c r="AP21" i="3"/>
  <c r="AP22" i="3" s="1"/>
  <c r="AO21" i="3"/>
  <c r="AO22" i="3" s="1"/>
  <c r="AN21" i="3"/>
  <c r="AM21" i="3"/>
  <c r="AM22" i="3" s="1"/>
  <c r="AL21" i="3"/>
  <c r="AL22" i="3" s="1"/>
  <c r="AK21" i="3"/>
  <c r="AH21" i="3"/>
  <c r="AG21" i="3"/>
  <c r="AG22" i="3" s="1"/>
  <c r="AF21" i="3"/>
  <c r="AF22" i="3" s="1"/>
  <c r="AE21" i="3"/>
  <c r="AD21" i="3"/>
  <c r="AC21" i="3"/>
  <c r="AC22" i="3" s="1"/>
  <c r="AB21" i="3"/>
  <c r="AB22" i="3" s="1"/>
  <c r="Y21" i="3"/>
  <c r="Y22" i="3" s="1"/>
  <c r="X21" i="3"/>
  <c r="W21" i="3"/>
  <c r="W22" i="3" s="1"/>
  <c r="V21" i="3"/>
  <c r="V22" i="3" s="1"/>
  <c r="T21" i="3"/>
  <c r="T22" i="3" s="1"/>
  <c r="S21" i="3"/>
  <c r="S22" i="3" s="1"/>
  <c r="Q21" i="3"/>
  <c r="Q22" i="3" s="1"/>
  <c r="P21" i="3"/>
  <c r="M21" i="3" s="1"/>
  <c r="M22" i="3" s="1"/>
  <c r="O21" i="3"/>
  <c r="N21" i="3"/>
  <c r="N22" i="3" s="1"/>
  <c r="L21" i="3"/>
  <c r="K21" i="3"/>
  <c r="K22" i="3" s="1"/>
  <c r="H21" i="3"/>
  <c r="H22" i="3" s="1"/>
  <c r="F21" i="3"/>
  <c r="F22" i="3" s="1"/>
  <c r="E21" i="3"/>
  <c r="C21" i="3"/>
  <c r="C22" i="3" s="1"/>
  <c r="AQ20" i="3"/>
  <c r="AQ22" i="3" s="1"/>
  <c r="AP20" i="3"/>
  <c r="AO20" i="3"/>
  <c r="AN20" i="3"/>
  <c r="AL20" i="3"/>
  <c r="AK20" i="3"/>
  <c r="AK22" i="3" s="1"/>
  <c r="AH20" i="3"/>
  <c r="AG20" i="3"/>
  <c r="AF20" i="3"/>
  <c r="AE20" i="3"/>
  <c r="AC20" i="3"/>
  <c r="AB20" i="3"/>
  <c r="Y20" i="3"/>
  <c r="X20" i="3"/>
  <c r="W20" i="3"/>
  <c r="V20" i="3"/>
  <c r="T20" i="3"/>
  <c r="S20" i="3"/>
  <c r="Q20" i="3"/>
  <c r="P20" i="3"/>
  <c r="O20" i="3"/>
  <c r="N20" i="3"/>
  <c r="M20" i="3"/>
  <c r="L20" i="3"/>
  <c r="K20" i="3"/>
  <c r="H20" i="3"/>
  <c r="F20" i="3"/>
  <c r="C20" i="3"/>
  <c r="AM18" i="3"/>
  <c r="AD18" i="3"/>
  <c r="U18" i="3"/>
  <c r="M18" i="3"/>
  <c r="H18" i="3"/>
  <c r="G18" i="3"/>
  <c r="F18" i="3"/>
  <c r="D18" i="3" s="1"/>
  <c r="E18" i="3"/>
  <c r="C18" i="3"/>
  <c r="B18" i="3"/>
  <c r="AM17" i="3"/>
  <c r="AD17" i="3"/>
  <c r="U17" i="3"/>
  <c r="M17" i="3"/>
  <c r="H17" i="3"/>
  <c r="G17" i="3"/>
  <c r="F17" i="3"/>
  <c r="D17" i="3" s="1"/>
  <c r="E17" i="3"/>
  <c r="C17" i="3"/>
  <c r="B17" i="3"/>
  <c r="AM16" i="3"/>
  <c r="AD16" i="3"/>
  <c r="U16" i="3"/>
  <c r="M16" i="3"/>
  <c r="H16" i="3"/>
  <c r="G16" i="3"/>
  <c r="F16" i="3"/>
  <c r="E16" i="3"/>
  <c r="D16" i="3"/>
  <c r="C16" i="3"/>
  <c r="B16" i="3"/>
  <c r="AQ15" i="3"/>
  <c r="AP15" i="3"/>
  <c r="AO15" i="3"/>
  <c r="AL15" i="3"/>
  <c r="AH15" i="3"/>
  <c r="AG15" i="3"/>
  <c r="AF15" i="3"/>
  <c r="AE15" i="3"/>
  <c r="AC15" i="3"/>
  <c r="AB15" i="3"/>
  <c r="Y15" i="3"/>
  <c r="X15" i="3"/>
  <c r="W15" i="3"/>
  <c r="V15" i="3"/>
  <c r="U15" i="3"/>
  <c r="T15" i="3"/>
  <c r="S15" i="3"/>
  <c r="Q15" i="3"/>
  <c r="P15" i="3"/>
  <c r="O15" i="3"/>
  <c r="N15" i="3"/>
  <c r="L15" i="3"/>
  <c r="K15" i="3"/>
  <c r="F15" i="3"/>
  <c r="E15" i="3"/>
  <c r="B15" i="3"/>
  <c r="AM14" i="3"/>
  <c r="AM15" i="3" s="1"/>
  <c r="AD14" i="3"/>
  <c r="AD15" i="3" s="1"/>
  <c r="U14" i="3"/>
  <c r="M14" i="3"/>
  <c r="M10" i="3" s="1"/>
  <c r="M11" i="3" s="1"/>
  <c r="H14" i="3"/>
  <c r="H15" i="3" s="1"/>
  <c r="G14" i="3"/>
  <c r="G15" i="3" s="1"/>
  <c r="F14" i="3"/>
  <c r="E14" i="3"/>
  <c r="D14" i="3" s="1"/>
  <c r="C14" i="3"/>
  <c r="C15" i="3" s="1"/>
  <c r="B14" i="3"/>
  <c r="AM13" i="3"/>
  <c r="AD13" i="3"/>
  <c r="AD9" i="3" s="1"/>
  <c r="U13" i="3"/>
  <c r="M13" i="3"/>
  <c r="H13" i="3"/>
  <c r="G13" i="3"/>
  <c r="F13" i="3"/>
  <c r="E13" i="3"/>
  <c r="D13" i="3"/>
  <c r="C13" i="3"/>
  <c r="B13" i="3"/>
  <c r="AK11" i="3"/>
  <c r="AH11" i="3"/>
  <c r="AE11" i="3"/>
  <c r="Y11" i="3"/>
  <c r="X11" i="3"/>
  <c r="P11" i="3"/>
  <c r="O11" i="3"/>
  <c r="L11" i="3"/>
  <c r="F11" i="3"/>
  <c r="AQ10" i="3"/>
  <c r="AP10" i="3"/>
  <c r="AO10" i="3"/>
  <c r="AO11" i="3" s="1"/>
  <c r="AN10" i="3"/>
  <c r="AM10" i="3"/>
  <c r="AL10" i="3"/>
  <c r="AL11" i="3" s="1"/>
  <c r="AK10" i="3"/>
  <c r="AH10" i="3"/>
  <c r="AD10" i="3" s="1"/>
  <c r="AG10" i="3"/>
  <c r="AG11" i="3" s="1"/>
  <c r="AF10" i="3"/>
  <c r="AF11" i="3" s="1"/>
  <c r="AE10" i="3"/>
  <c r="AC10" i="3"/>
  <c r="AC11" i="3" s="1"/>
  <c r="AB10" i="3"/>
  <c r="AB11" i="3" s="1"/>
  <c r="Y10" i="3"/>
  <c r="X10" i="3"/>
  <c r="W10" i="3"/>
  <c r="W11" i="3" s="1"/>
  <c r="V10" i="3"/>
  <c r="V11" i="3" s="1"/>
  <c r="T10" i="3"/>
  <c r="T11" i="3" s="1"/>
  <c r="S10" i="3"/>
  <c r="S11" i="3" s="1"/>
  <c r="Q10" i="3"/>
  <c r="Q11" i="3" s="1"/>
  <c r="P10" i="3"/>
  <c r="O10" i="3"/>
  <c r="N10" i="3"/>
  <c r="N11" i="3" s="1"/>
  <c r="L10" i="3"/>
  <c r="K10" i="3"/>
  <c r="K11" i="3" s="1"/>
  <c r="H10" i="3"/>
  <c r="H11" i="3" s="1"/>
  <c r="F10" i="3"/>
  <c r="E10" i="3"/>
  <c r="C10" i="3"/>
  <c r="C11" i="3" s="1"/>
  <c r="AQ9" i="3"/>
  <c r="AQ11" i="3" s="1"/>
  <c r="AP9" i="3"/>
  <c r="AP11" i="3" s="1"/>
  <c r="AO9" i="3"/>
  <c r="AN9" i="3"/>
  <c r="AL9" i="3"/>
  <c r="AK9" i="3"/>
  <c r="AH9" i="3"/>
  <c r="AG9" i="3"/>
  <c r="AF9" i="3"/>
  <c r="AE9" i="3"/>
  <c r="AC9" i="3"/>
  <c r="AB9" i="3"/>
  <c r="Y9" i="3"/>
  <c r="X9" i="3"/>
  <c r="W9" i="3"/>
  <c r="V9" i="3"/>
  <c r="T9" i="3"/>
  <c r="S9" i="3"/>
  <c r="Q9" i="3"/>
  <c r="P9" i="3"/>
  <c r="O9" i="3"/>
  <c r="N9" i="3"/>
  <c r="M9" i="3"/>
  <c r="L9" i="3"/>
  <c r="K9" i="3"/>
  <c r="H9" i="3"/>
  <c r="F9" i="3"/>
  <c r="C9" i="3"/>
  <c r="AD11" i="3" l="1"/>
  <c r="E22" i="3"/>
  <c r="E9" i="3"/>
  <c r="E11" i="3" s="1"/>
  <c r="D10" i="3"/>
  <c r="D11" i="3" s="1"/>
  <c r="D15" i="3"/>
  <c r="D21" i="3"/>
  <c r="D22" i="3" s="1"/>
  <c r="D25" i="3"/>
  <c r="AD22" i="3"/>
  <c r="AM9" i="3"/>
  <c r="AM11" i="3" s="1"/>
  <c r="M15" i="3"/>
  <c r="B20" i="3"/>
  <c r="B9" i="3" s="1"/>
  <c r="U20" i="3"/>
  <c r="U9" i="3" s="1"/>
  <c r="G21" i="3"/>
  <c r="P22" i="3"/>
  <c r="B21" i="3"/>
  <c r="U21" i="3"/>
  <c r="B22" i="3" l="1"/>
  <c r="B10" i="3"/>
  <c r="B11" i="3" s="1"/>
  <c r="G22" i="3"/>
  <c r="G10" i="3"/>
  <c r="G11" i="3" s="1"/>
  <c r="U22" i="3"/>
  <c r="U10" i="3"/>
  <c r="U11" i="3" s="1"/>
  <c r="AQ40" i="28" l="1"/>
  <c r="AP40" i="28"/>
  <c r="AO40" i="28"/>
  <c r="AN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U40" i="28"/>
  <c r="T40" i="28"/>
  <c r="S40" i="28"/>
  <c r="Q40" i="28"/>
  <c r="P40" i="28"/>
  <c r="O40" i="28"/>
  <c r="N40" i="28"/>
  <c r="L40" i="28"/>
  <c r="K40" i="28"/>
  <c r="F40" i="28"/>
  <c r="E40" i="28"/>
  <c r="B40" i="28"/>
  <c r="AM39" i="28"/>
  <c r="AM40" i="28" s="1"/>
  <c r="AD39" i="28"/>
  <c r="AD40" i="28" s="1"/>
  <c r="U39" i="28"/>
  <c r="M39" i="28"/>
  <c r="M40" i="28" s="1"/>
  <c r="H39" i="28"/>
  <c r="H40" i="28" s="1"/>
  <c r="G39" i="28"/>
  <c r="F39" i="28"/>
  <c r="E39" i="28"/>
  <c r="C39" i="28"/>
  <c r="C40" i="28" s="1"/>
  <c r="B39" i="28"/>
  <c r="AM38" i="28"/>
  <c r="D38" i="28" s="1"/>
  <c r="AD38" i="28"/>
  <c r="U38" i="28"/>
  <c r="M38" i="28"/>
  <c r="H38" i="28"/>
  <c r="G38" i="28"/>
  <c r="G40" i="28" s="1"/>
  <c r="F38" i="28"/>
  <c r="E38" i="28"/>
  <c r="C38" i="28"/>
  <c r="B38" i="28"/>
  <c r="AQ37" i="28"/>
  <c r="AP37" i="28"/>
  <c r="AO37" i="28"/>
  <c r="AN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G37" i="28"/>
  <c r="F37" i="28"/>
  <c r="AM36" i="28"/>
  <c r="AM37" i="28" s="1"/>
  <c r="AD36" i="28"/>
  <c r="AD37" i="28" s="1"/>
  <c r="U36" i="28"/>
  <c r="U37" i="28" s="1"/>
  <c r="M36" i="28"/>
  <c r="M37" i="28" s="1"/>
  <c r="H36" i="28"/>
  <c r="G36" i="28"/>
  <c r="F36" i="28"/>
  <c r="E36" i="28"/>
  <c r="E37" i="28" s="1"/>
  <c r="C36" i="28"/>
  <c r="C37" i="28" s="1"/>
  <c r="B36" i="28"/>
  <c r="B37" i="28" s="1"/>
  <c r="AM35" i="28"/>
  <c r="D35" i="28" s="1"/>
  <c r="AD35" i="28"/>
  <c r="U35" i="28"/>
  <c r="M35" i="28"/>
  <c r="H35" i="28"/>
  <c r="H37" i="28" s="1"/>
  <c r="G35" i="28"/>
  <c r="F35" i="28"/>
  <c r="E35" i="28"/>
  <c r="C35" i="28"/>
  <c r="B35" i="28"/>
  <c r="AQ34" i="28"/>
  <c r="AP34" i="28"/>
  <c r="AO34" i="28"/>
  <c r="AN34" i="28"/>
  <c r="AM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H34" i="28"/>
  <c r="G34" i="28"/>
  <c r="AM33" i="28"/>
  <c r="AD33" i="28"/>
  <c r="AD34" i="28" s="1"/>
  <c r="U33" i="28"/>
  <c r="U34" i="28" s="1"/>
  <c r="M33" i="28"/>
  <c r="H33" i="28"/>
  <c r="G33" i="28"/>
  <c r="F33" i="28"/>
  <c r="F34" i="28" s="1"/>
  <c r="E33" i="28"/>
  <c r="C33" i="28"/>
  <c r="C34" i="28" s="1"/>
  <c r="B33" i="28"/>
  <c r="B34" i="28" s="1"/>
  <c r="AM32" i="28"/>
  <c r="AD32" i="28"/>
  <c r="U32" i="28"/>
  <c r="M32" i="28"/>
  <c r="D32" i="28" s="1"/>
  <c r="H32" i="28"/>
  <c r="G32" i="28"/>
  <c r="F32" i="28"/>
  <c r="E32" i="28"/>
  <c r="E34" i="28" s="1"/>
  <c r="C32" i="28"/>
  <c r="B32" i="28"/>
  <c r="AQ31" i="28"/>
  <c r="AP31" i="28"/>
  <c r="AO31" i="28"/>
  <c r="AN31" i="28"/>
  <c r="AM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U31" i="28"/>
  <c r="T31" i="28"/>
  <c r="S31" i="28"/>
  <c r="Q31" i="28"/>
  <c r="P31" i="28"/>
  <c r="O31" i="28"/>
  <c r="N31" i="28"/>
  <c r="L31" i="28"/>
  <c r="K31" i="28"/>
  <c r="H31" i="28"/>
  <c r="B31" i="28"/>
  <c r="AM30" i="28"/>
  <c r="AD30" i="28"/>
  <c r="AD31" i="28" s="1"/>
  <c r="U30" i="28"/>
  <c r="M30" i="28"/>
  <c r="M31" i="28" s="1"/>
  <c r="H30" i="28"/>
  <c r="G30" i="28"/>
  <c r="G31" i="28" s="1"/>
  <c r="F30" i="28"/>
  <c r="E30" i="28"/>
  <c r="E31" i="28" s="1"/>
  <c r="D30" i="28"/>
  <c r="D31" i="28" s="1"/>
  <c r="C30" i="28"/>
  <c r="C31" i="28" s="1"/>
  <c r="B30" i="28"/>
  <c r="AM29" i="28"/>
  <c r="AD29" i="28"/>
  <c r="U29" i="28"/>
  <c r="M29" i="28"/>
  <c r="H29" i="28"/>
  <c r="G29" i="28"/>
  <c r="F29" i="28"/>
  <c r="F31" i="28" s="1"/>
  <c r="E29" i="28"/>
  <c r="D29" i="28"/>
  <c r="C29" i="28"/>
  <c r="B29" i="28"/>
  <c r="AQ28" i="28"/>
  <c r="AP28" i="28"/>
  <c r="AO28" i="28"/>
  <c r="AN28" i="28"/>
  <c r="AL28" i="28"/>
  <c r="AK28" i="28"/>
  <c r="AH28" i="28"/>
  <c r="AG28" i="28"/>
  <c r="AF28" i="28"/>
  <c r="AE28" i="28"/>
  <c r="AD28" i="28"/>
  <c r="AC28" i="28"/>
  <c r="AB28" i="28"/>
  <c r="Y28" i="28"/>
  <c r="X28" i="28"/>
  <c r="W28" i="28"/>
  <c r="V28" i="28"/>
  <c r="U28" i="28"/>
  <c r="T28" i="28"/>
  <c r="S28" i="28"/>
  <c r="Q28" i="28"/>
  <c r="P28" i="28"/>
  <c r="O28" i="28"/>
  <c r="N28" i="28"/>
  <c r="L28" i="28"/>
  <c r="K28" i="28"/>
  <c r="C28" i="28"/>
  <c r="B28" i="28"/>
  <c r="AM27" i="28"/>
  <c r="AM28" i="28" s="1"/>
  <c r="AD27" i="28"/>
  <c r="U27" i="28"/>
  <c r="M27" i="28"/>
  <c r="H27" i="28"/>
  <c r="H28" i="28" s="1"/>
  <c r="G27" i="28"/>
  <c r="F27" i="28"/>
  <c r="F28" i="28" s="1"/>
  <c r="E27" i="28"/>
  <c r="E28" i="28" s="1"/>
  <c r="C27" i="28"/>
  <c r="B27" i="28"/>
  <c r="AM26" i="28"/>
  <c r="AD26" i="28"/>
  <c r="U26" i="28"/>
  <c r="M26" i="28"/>
  <c r="D26" i="28" s="1"/>
  <c r="H26" i="28"/>
  <c r="G26" i="28"/>
  <c r="G28" i="28" s="1"/>
  <c r="F26" i="28"/>
  <c r="E26" i="28"/>
  <c r="C26" i="28"/>
  <c r="B26" i="28"/>
  <c r="AQ25" i="28"/>
  <c r="AP25" i="28"/>
  <c r="AO25" i="28"/>
  <c r="AN25" i="28"/>
  <c r="AM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U25" i="28"/>
  <c r="T25" i="28"/>
  <c r="S25" i="28"/>
  <c r="Q25" i="28"/>
  <c r="P25" i="28"/>
  <c r="O25" i="28"/>
  <c r="N25" i="28"/>
  <c r="L25" i="28"/>
  <c r="K25" i="28"/>
  <c r="C25" i="28"/>
  <c r="B25" i="28"/>
  <c r="AM24" i="28"/>
  <c r="AD24" i="28"/>
  <c r="AD25" i="28" s="1"/>
  <c r="U24" i="28"/>
  <c r="M24" i="28"/>
  <c r="D24" i="28" s="1"/>
  <c r="H24" i="28"/>
  <c r="G24" i="28"/>
  <c r="G25" i="28" s="1"/>
  <c r="F24" i="28"/>
  <c r="F25" i="28" s="1"/>
  <c r="E24" i="28"/>
  <c r="E25" i="28" s="1"/>
  <c r="C24" i="28"/>
  <c r="B24" i="28"/>
  <c r="AM23" i="28"/>
  <c r="AD23" i="28"/>
  <c r="U23" i="28"/>
  <c r="M23" i="28"/>
  <c r="M25" i="28" s="1"/>
  <c r="H23" i="28"/>
  <c r="H25" i="28" s="1"/>
  <c r="G23" i="28"/>
  <c r="F23" i="28"/>
  <c r="E23" i="28"/>
  <c r="C23" i="28"/>
  <c r="B23" i="28"/>
  <c r="AQ22" i="28"/>
  <c r="AP22" i="28"/>
  <c r="AH22" i="28"/>
  <c r="AG22" i="28"/>
  <c r="AF22" i="28"/>
  <c r="X22" i="28"/>
  <c r="W22" i="28"/>
  <c r="V22" i="28"/>
  <c r="O22" i="28"/>
  <c r="N22" i="28"/>
  <c r="AQ21" i="28"/>
  <c r="AP21" i="28"/>
  <c r="AO21" i="28"/>
  <c r="AO22" i="28" s="1"/>
  <c r="AN21" i="28"/>
  <c r="AM21" i="28"/>
  <c r="AL21" i="28"/>
  <c r="AL10" i="28" s="1"/>
  <c r="AL11" i="28" s="1"/>
  <c r="AK21" i="28"/>
  <c r="AK10" i="28" s="1"/>
  <c r="AK11" i="28" s="1"/>
  <c r="AH21" i="28"/>
  <c r="AG21" i="28"/>
  <c r="AF21" i="28"/>
  <c r="AE21" i="28"/>
  <c r="AE22" i="28" s="1"/>
  <c r="AC21" i="28"/>
  <c r="AC10" i="28" s="1"/>
  <c r="AC11" i="28" s="1"/>
  <c r="AB21" i="28"/>
  <c r="AB10" i="28" s="1"/>
  <c r="AB11" i="28" s="1"/>
  <c r="Y21" i="28"/>
  <c r="Y10" i="28" s="1"/>
  <c r="X21" i="28"/>
  <c r="W21" i="28"/>
  <c r="U21" i="28" s="1"/>
  <c r="U22" i="28" s="1"/>
  <c r="V21" i="28"/>
  <c r="T21" i="28"/>
  <c r="S21" i="28"/>
  <c r="S10" i="28" s="1"/>
  <c r="S11" i="28" s="1"/>
  <c r="Q21" i="28"/>
  <c r="Q10" i="28" s="1"/>
  <c r="P21" i="28"/>
  <c r="G21" i="28" s="1"/>
  <c r="G22" i="28" s="1"/>
  <c r="O21" i="28"/>
  <c r="N21" i="28"/>
  <c r="E21" i="28" s="1"/>
  <c r="L21" i="28"/>
  <c r="L22" i="28" s="1"/>
  <c r="K21" i="28"/>
  <c r="F21" i="28"/>
  <c r="AQ20" i="28"/>
  <c r="AP20" i="28"/>
  <c r="AP9" i="28" s="1"/>
  <c r="AO20" i="28"/>
  <c r="AO9" i="28" s="1"/>
  <c r="AN20" i="28"/>
  <c r="AM20" i="28" s="1"/>
  <c r="AL20" i="28"/>
  <c r="AK20" i="28"/>
  <c r="AH20" i="28"/>
  <c r="AG20" i="28"/>
  <c r="AF20" i="28"/>
  <c r="AF9" i="28" s="1"/>
  <c r="AE20" i="28"/>
  <c r="AE9" i="28" s="1"/>
  <c r="AD9" i="28" s="1"/>
  <c r="AD20" i="28"/>
  <c r="AC20" i="28"/>
  <c r="AB20" i="28"/>
  <c r="Y20" i="28"/>
  <c r="X20" i="28"/>
  <c r="W20" i="28"/>
  <c r="V20" i="28"/>
  <c r="V9" i="28" s="1"/>
  <c r="U9" i="28" s="1"/>
  <c r="U20" i="28"/>
  <c r="T20" i="28"/>
  <c r="T22" i="28" s="1"/>
  <c r="S20" i="28"/>
  <c r="Q20" i="28"/>
  <c r="H20" i="28" s="1"/>
  <c r="P20" i="28"/>
  <c r="O20" i="28"/>
  <c r="F20" i="28" s="1"/>
  <c r="N20" i="28"/>
  <c r="L20" i="28"/>
  <c r="L9" i="28" s="1"/>
  <c r="K20" i="28"/>
  <c r="K22" i="28" s="1"/>
  <c r="G20" i="28"/>
  <c r="AM18" i="28"/>
  <c r="D18" i="28" s="1"/>
  <c r="AD18" i="28"/>
  <c r="U18" i="28"/>
  <c r="M18" i="28"/>
  <c r="H18" i="28"/>
  <c r="G18" i="28"/>
  <c r="F18" i="28"/>
  <c r="E18" i="28"/>
  <c r="C18" i="28"/>
  <c r="B18" i="28"/>
  <c r="AM17" i="28"/>
  <c r="AD17" i="28"/>
  <c r="U17" i="28"/>
  <c r="M17" i="28"/>
  <c r="D17" i="28" s="1"/>
  <c r="H17" i="28"/>
  <c r="G17" i="28"/>
  <c r="F17" i="28"/>
  <c r="E17" i="28"/>
  <c r="C17" i="28"/>
  <c r="B17" i="28"/>
  <c r="AM16" i="28"/>
  <c r="AD16" i="28"/>
  <c r="U16" i="28"/>
  <c r="D16" i="28" s="1"/>
  <c r="M16" i="28"/>
  <c r="H16" i="28"/>
  <c r="G16" i="28"/>
  <c r="F16" i="28"/>
  <c r="E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L15" i="28"/>
  <c r="K15" i="28"/>
  <c r="G15" i="28"/>
  <c r="F15" i="28"/>
  <c r="E15" i="28"/>
  <c r="AM14" i="28"/>
  <c r="AM15" i="28" s="1"/>
  <c r="AD14" i="28"/>
  <c r="AD15" i="28" s="1"/>
  <c r="U14" i="28"/>
  <c r="U15" i="28" s="1"/>
  <c r="M14" i="28"/>
  <c r="M15" i="28" s="1"/>
  <c r="H14" i="28"/>
  <c r="H15" i="28" s="1"/>
  <c r="G14" i="28"/>
  <c r="F14" i="28"/>
  <c r="E14" i="28"/>
  <c r="C14" i="28"/>
  <c r="B14" i="28"/>
  <c r="B15" i="28" s="1"/>
  <c r="AM13" i="28"/>
  <c r="D13" i="28" s="1"/>
  <c r="AD13" i="28"/>
  <c r="U13" i="28"/>
  <c r="M13" i="28"/>
  <c r="H13" i="28"/>
  <c r="G13" i="28"/>
  <c r="F13" i="28"/>
  <c r="E13" i="28"/>
  <c r="C13" i="28"/>
  <c r="C15" i="28" s="1"/>
  <c r="B13" i="28"/>
  <c r="AQ10" i="28"/>
  <c r="AP10" i="28"/>
  <c r="AP11" i="28" s="1"/>
  <c r="AO10" i="28"/>
  <c r="AO11" i="28" s="1"/>
  <c r="AN10" i="28"/>
  <c r="AM10" i="28" s="1"/>
  <c r="AH10" i="28"/>
  <c r="AH11" i="28" s="1"/>
  <c r="AG10" i="28"/>
  <c r="AF10" i="28"/>
  <c r="AE10" i="28"/>
  <c r="AD10" i="28"/>
  <c r="X10" i="28"/>
  <c r="X11" i="28" s="1"/>
  <c r="W10" i="28"/>
  <c r="V10" i="28"/>
  <c r="V11" i="28" s="1"/>
  <c r="T10" i="28"/>
  <c r="O10" i="28"/>
  <c r="O11" i="28" s="1"/>
  <c r="N10" i="28"/>
  <c r="E10" i="28" s="1"/>
  <c r="L10" i="28"/>
  <c r="K10" i="28"/>
  <c r="AQ9" i="28"/>
  <c r="AQ11" i="28" s="1"/>
  <c r="AL9" i="28"/>
  <c r="AK9" i="28"/>
  <c r="AH9" i="28"/>
  <c r="AG9" i="28"/>
  <c r="AG11" i="28" s="1"/>
  <c r="AC9" i="28"/>
  <c r="AB9" i="28"/>
  <c r="Y9" i="28"/>
  <c r="H9" i="28" s="1"/>
  <c r="X9" i="28"/>
  <c r="W9" i="28"/>
  <c r="W11" i="28" s="1"/>
  <c r="S9" i="28"/>
  <c r="Q9" i="28"/>
  <c r="P9" i="28"/>
  <c r="O9" i="28"/>
  <c r="N9" i="28"/>
  <c r="M9" i="28" s="1"/>
  <c r="AQ40" i="14"/>
  <c r="AP40" i="14"/>
  <c r="AO40" i="14"/>
  <c r="AN40" i="14"/>
  <c r="AM40" i="14"/>
  <c r="AL40" i="14"/>
  <c r="AK40" i="14"/>
  <c r="AH40" i="14"/>
  <c r="AG40" i="14"/>
  <c r="AF40" i="14"/>
  <c r="AE40" i="14"/>
  <c r="AC40" i="14"/>
  <c r="AB40" i="14"/>
  <c r="Y40" i="14"/>
  <c r="X40" i="14"/>
  <c r="W40" i="14"/>
  <c r="V40" i="14"/>
  <c r="T40" i="14"/>
  <c r="S40" i="14"/>
  <c r="Q40" i="14"/>
  <c r="P40" i="14"/>
  <c r="O40" i="14"/>
  <c r="N40" i="14"/>
  <c r="L40" i="14"/>
  <c r="K40" i="14"/>
  <c r="G40" i="14"/>
  <c r="E40" i="14"/>
  <c r="AM39" i="14"/>
  <c r="AD39" i="14"/>
  <c r="AD40" i="14" s="1"/>
  <c r="U39" i="14"/>
  <c r="U40" i="14" s="1"/>
  <c r="M39" i="14"/>
  <c r="H39" i="14"/>
  <c r="H40" i="14" s="1"/>
  <c r="G39" i="14"/>
  <c r="F39" i="14"/>
  <c r="D39" i="14" s="1"/>
  <c r="E39" i="14"/>
  <c r="C39" i="14"/>
  <c r="C40" i="14" s="1"/>
  <c r="B39" i="14"/>
  <c r="B40" i="14" s="1"/>
  <c r="AM38" i="14"/>
  <c r="AD38" i="14"/>
  <c r="U38" i="14"/>
  <c r="M38" i="14"/>
  <c r="M40" i="14" s="1"/>
  <c r="H38" i="14"/>
  <c r="G38" i="14"/>
  <c r="F38" i="14"/>
  <c r="E38" i="14"/>
  <c r="D38" i="14" s="1"/>
  <c r="C38" i="14"/>
  <c r="B38" i="14"/>
  <c r="AQ37" i="14"/>
  <c r="AP37" i="14"/>
  <c r="AO37" i="14"/>
  <c r="AN37" i="14"/>
  <c r="AL37" i="14"/>
  <c r="AK37" i="14"/>
  <c r="AH37" i="14"/>
  <c r="AG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B37" i="14"/>
  <c r="AM36" i="14"/>
  <c r="AD36" i="14"/>
  <c r="U36" i="14"/>
  <c r="M36" i="14"/>
  <c r="H36" i="14"/>
  <c r="H37" i="14" s="1"/>
  <c r="G36" i="14"/>
  <c r="G37" i="14" s="1"/>
  <c r="F36" i="14"/>
  <c r="F37" i="14" s="1"/>
  <c r="E36" i="14"/>
  <c r="D36" i="14" s="1"/>
  <c r="D37" i="14" s="1"/>
  <c r="C36" i="14"/>
  <c r="C37" i="14" s="1"/>
  <c r="B36" i="14"/>
  <c r="AM35" i="14"/>
  <c r="AD35" i="14"/>
  <c r="U35" i="14"/>
  <c r="M35" i="14"/>
  <c r="H35" i="14"/>
  <c r="G35" i="14"/>
  <c r="F35" i="14"/>
  <c r="E35" i="14"/>
  <c r="D35" i="14" s="1"/>
  <c r="C35" i="14"/>
  <c r="B35" i="14"/>
  <c r="AQ34" i="14"/>
  <c r="AP34" i="14"/>
  <c r="AO34" i="14"/>
  <c r="AN34" i="14"/>
  <c r="AL34" i="14"/>
  <c r="AK34" i="14"/>
  <c r="AH34" i="14"/>
  <c r="AG34" i="14"/>
  <c r="AF34" i="14"/>
  <c r="AE34" i="14"/>
  <c r="AC34" i="14"/>
  <c r="AB34" i="14"/>
  <c r="Y34" i="14"/>
  <c r="X34" i="14"/>
  <c r="W34" i="14"/>
  <c r="V34" i="14"/>
  <c r="T34" i="14"/>
  <c r="S34" i="14"/>
  <c r="Q34" i="14"/>
  <c r="P34" i="14"/>
  <c r="O34" i="14"/>
  <c r="N34" i="14"/>
  <c r="L34" i="14"/>
  <c r="K34" i="14"/>
  <c r="F34" i="14"/>
  <c r="AM33" i="14"/>
  <c r="AD33" i="14"/>
  <c r="U33" i="14"/>
  <c r="M33" i="14"/>
  <c r="H33" i="14"/>
  <c r="H34" i="14" s="1"/>
  <c r="G33" i="14"/>
  <c r="F33" i="14"/>
  <c r="E33" i="14"/>
  <c r="E34" i="14" s="1"/>
  <c r="D33" i="14"/>
  <c r="D34" i="14" s="1"/>
  <c r="C33" i="14"/>
  <c r="C34" i="14" s="1"/>
  <c r="B33" i="14"/>
  <c r="B34" i="14" s="1"/>
  <c r="AM32" i="14"/>
  <c r="AD32" i="14"/>
  <c r="U32" i="14"/>
  <c r="M32" i="14"/>
  <c r="H32" i="14"/>
  <c r="G32" i="14"/>
  <c r="G34" i="14" s="1"/>
  <c r="F32" i="14"/>
  <c r="E32" i="14"/>
  <c r="D32" i="14" s="1"/>
  <c r="C32" i="14"/>
  <c r="B32" i="14"/>
  <c r="AQ31" i="14"/>
  <c r="AP31" i="14"/>
  <c r="AO31" i="14"/>
  <c r="AN31" i="14"/>
  <c r="AM31" i="14"/>
  <c r="AL31" i="14"/>
  <c r="AK31" i="14"/>
  <c r="AH31" i="14"/>
  <c r="AG31" i="14"/>
  <c r="AF31" i="14"/>
  <c r="AE31" i="14"/>
  <c r="AC31" i="14"/>
  <c r="AB31" i="14"/>
  <c r="Y31" i="14"/>
  <c r="X31" i="14"/>
  <c r="W31" i="14"/>
  <c r="V31" i="14"/>
  <c r="U31" i="14"/>
  <c r="T31" i="14"/>
  <c r="S31" i="14"/>
  <c r="Q31" i="14"/>
  <c r="P31" i="14"/>
  <c r="O31" i="14"/>
  <c r="N31" i="14"/>
  <c r="M31" i="14"/>
  <c r="L31" i="14"/>
  <c r="K31" i="14"/>
  <c r="G31" i="14"/>
  <c r="B31" i="14"/>
  <c r="AM30" i="14"/>
  <c r="AD30" i="14"/>
  <c r="AD31" i="14" s="1"/>
  <c r="U30" i="14"/>
  <c r="M30" i="14"/>
  <c r="H30" i="14"/>
  <c r="G30" i="14"/>
  <c r="F30" i="14"/>
  <c r="F31" i="14" s="1"/>
  <c r="E30" i="14"/>
  <c r="E21" i="14" s="1"/>
  <c r="C30" i="14"/>
  <c r="C31" i="14" s="1"/>
  <c r="B30" i="14"/>
  <c r="AM29" i="14"/>
  <c r="AD29" i="14"/>
  <c r="U29" i="14"/>
  <c r="M29" i="14"/>
  <c r="H29" i="14"/>
  <c r="H20" i="14" s="1"/>
  <c r="G29" i="14"/>
  <c r="F29" i="14"/>
  <c r="E29" i="14"/>
  <c r="D29" i="14" s="1"/>
  <c r="C29" i="14"/>
  <c r="B29" i="14"/>
  <c r="AQ28" i="14"/>
  <c r="AP28" i="14"/>
  <c r="AO28" i="14"/>
  <c r="AN28" i="14"/>
  <c r="AL28" i="14"/>
  <c r="AK28" i="14"/>
  <c r="AH28" i="14"/>
  <c r="AG28" i="14"/>
  <c r="AF28" i="14"/>
  <c r="AE28" i="14"/>
  <c r="AD28" i="14"/>
  <c r="AC28" i="14"/>
  <c r="AB28" i="14"/>
  <c r="Y28" i="14"/>
  <c r="X28" i="14"/>
  <c r="W28" i="14"/>
  <c r="V28" i="14"/>
  <c r="T28" i="14"/>
  <c r="S28" i="14"/>
  <c r="Q28" i="14"/>
  <c r="P28" i="14"/>
  <c r="O28" i="14"/>
  <c r="N28" i="14"/>
  <c r="L28" i="14"/>
  <c r="K28" i="14"/>
  <c r="H28" i="14"/>
  <c r="C28" i="14"/>
  <c r="AM27" i="14"/>
  <c r="AM28" i="14" s="1"/>
  <c r="AD27" i="14"/>
  <c r="U27" i="14"/>
  <c r="U21" i="14" s="1"/>
  <c r="U22" i="14" s="1"/>
  <c r="M27" i="14"/>
  <c r="H27" i="14"/>
  <c r="G27" i="14"/>
  <c r="G28" i="14" s="1"/>
  <c r="F27" i="14"/>
  <c r="F28" i="14" s="1"/>
  <c r="E27" i="14"/>
  <c r="E28" i="14" s="1"/>
  <c r="C27" i="14"/>
  <c r="B27" i="14"/>
  <c r="B21" i="14" s="1"/>
  <c r="AM26" i="14"/>
  <c r="AD26" i="14"/>
  <c r="U26" i="14"/>
  <c r="U20" i="14" s="1"/>
  <c r="M26" i="14"/>
  <c r="M28" i="14" s="1"/>
  <c r="H26" i="14"/>
  <c r="G26" i="14"/>
  <c r="F26" i="14"/>
  <c r="E26" i="14"/>
  <c r="D26" i="14" s="1"/>
  <c r="C26" i="14"/>
  <c r="B26" i="14"/>
  <c r="AQ25" i="14"/>
  <c r="AP25" i="14"/>
  <c r="AO25" i="14"/>
  <c r="AL25" i="14"/>
  <c r="AK25" i="14"/>
  <c r="AH25" i="14"/>
  <c r="AG25" i="14"/>
  <c r="AF25" i="14"/>
  <c r="AC25" i="14"/>
  <c r="AB25" i="14"/>
  <c r="Y25" i="14"/>
  <c r="X25" i="14"/>
  <c r="W25" i="14"/>
  <c r="U25" i="14"/>
  <c r="T25" i="14"/>
  <c r="S25" i="14"/>
  <c r="Q25" i="14"/>
  <c r="P25" i="14"/>
  <c r="O25" i="14"/>
  <c r="L25" i="14"/>
  <c r="K25" i="14"/>
  <c r="H25" i="14"/>
  <c r="E25" i="14"/>
  <c r="AM24" i="14"/>
  <c r="AM25" i="14" s="1"/>
  <c r="AD24" i="14"/>
  <c r="AD21" i="14" s="1"/>
  <c r="AD22" i="14" s="1"/>
  <c r="U24" i="14"/>
  <c r="M24" i="14"/>
  <c r="M25" i="14" s="1"/>
  <c r="H24" i="14"/>
  <c r="G24" i="14"/>
  <c r="G25" i="14" s="1"/>
  <c r="F24" i="14"/>
  <c r="E24" i="14"/>
  <c r="D24" i="14"/>
  <c r="C24" i="14"/>
  <c r="C25" i="14" s="1"/>
  <c r="B24" i="14"/>
  <c r="B25" i="14" s="1"/>
  <c r="AM23" i="14"/>
  <c r="AM20" i="14" s="1"/>
  <c r="AD23" i="14"/>
  <c r="U23" i="14"/>
  <c r="M23" i="14"/>
  <c r="H23" i="14"/>
  <c r="G23" i="14"/>
  <c r="G20" i="14" s="1"/>
  <c r="G9" i="14" s="1"/>
  <c r="F23" i="14"/>
  <c r="F20" i="14" s="1"/>
  <c r="F9" i="14" s="1"/>
  <c r="E23" i="14"/>
  <c r="C23" i="14"/>
  <c r="B23" i="14"/>
  <c r="B20" i="14" s="1"/>
  <c r="AO22" i="14"/>
  <c r="AB22" i="14"/>
  <c r="X22" i="14"/>
  <c r="Q22" i="14"/>
  <c r="P22" i="14"/>
  <c r="L22" i="14"/>
  <c r="AQ21" i="14"/>
  <c r="AQ22" i="14" s="1"/>
  <c r="AP21" i="14"/>
  <c r="AP22" i="14" s="1"/>
  <c r="AO21" i="14"/>
  <c r="AN21" i="14"/>
  <c r="AN10" i="14" s="1"/>
  <c r="AM21" i="14"/>
  <c r="AM10" i="14" s="1"/>
  <c r="AL21" i="14"/>
  <c r="AL22" i="14" s="1"/>
  <c r="AK21" i="14"/>
  <c r="AK22" i="14" s="1"/>
  <c r="AH21" i="14"/>
  <c r="AH22" i="14" s="1"/>
  <c r="AG21" i="14"/>
  <c r="AG22" i="14" s="1"/>
  <c r="AF21" i="14"/>
  <c r="AF22" i="14" s="1"/>
  <c r="AE21" i="14"/>
  <c r="AC21" i="14"/>
  <c r="AC22" i="14" s="1"/>
  <c r="AB21" i="14"/>
  <c r="Y21" i="14"/>
  <c r="Y22" i="14" s="1"/>
  <c r="X21" i="14"/>
  <c r="X10" i="14" s="1"/>
  <c r="X11" i="14" s="1"/>
  <c r="W21" i="14"/>
  <c r="W22" i="14" s="1"/>
  <c r="V21" i="14"/>
  <c r="T21" i="14"/>
  <c r="T22" i="14" s="1"/>
  <c r="S21" i="14"/>
  <c r="S22" i="14" s="1"/>
  <c r="Q21" i="14"/>
  <c r="P21" i="14"/>
  <c r="O21" i="14"/>
  <c r="O22" i="14" s="1"/>
  <c r="N21" i="14"/>
  <c r="L21" i="14"/>
  <c r="K21" i="14"/>
  <c r="K22" i="14" s="1"/>
  <c r="H21" i="14"/>
  <c r="H22" i="14" s="1"/>
  <c r="AQ20" i="14"/>
  <c r="AQ9" i="14" s="1"/>
  <c r="AP20" i="14"/>
  <c r="AP9" i="14" s="1"/>
  <c r="AO20" i="14"/>
  <c r="AN20" i="14"/>
  <c r="AL20" i="14"/>
  <c r="AK20" i="14"/>
  <c r="AH20" i="14"/>
  <c r="AG20" i="14"/>
  <c r="AG9" i="14" s="1"/>
  <c r="AF20" i="14"/>
  <c r="AF9" i="14" s="1"/>
  <c r="AE20" i="14"/>
  <c r="AD20" i="14"/>
  <c r="AC20" i="14"/>
  <c r="AC9" i="14" s="1"/>
  <c r="AB20" i="14"/>
  <c r="Y20" i="14"/>
  <c r="X20" i="14"/>
  <c r="W20" i="14"/>
  <c r="W9" i="14" s="1"/>
  <c r="V20" i="14"/>
  <c r="V9" i="14" s="1"/>
  <c r="T20" i="14"/>
  <c r="S20" i="14"/>
  <c r="S9" i="14" s="1"/>
  <c r="Q20" i="14"/>
  <c r="P20" i="14"/>
  <c r="O20" i="14"/>
  <c r="N20" i="14"/>
  <c r="N9" i="14" s="1"/>
  <c r="M20" i="14"/>
  <c r="L20" i="14"/>
  <c r="K20" i="14"/>
  <c r="C20" i="14"/>
  <c r="C9" i="14" s="1"/>
  <c r="AM18" i="14"/>
  <c r="AD18" i="14"/>
  <c r="U18" i="14"/>
  <c r="M18" i="14"/>
  <c r="H18" i="14"/>
  <c r="G18" i="14"/>
  <c r="F18" i="14"/>
  <c r="D18" i="14" s="1"/>
  <c r="E18" i="14"/>
  <c r="C18" i="14"/>
  <c r="B18" i="14"/>
  <c r="AM17" i="14"/>
  <c r="AD17" i="14"/>
  <c r="U17" i="14"/>
  <c r="M17" i="14"/>
  <c r="H17" i="14"/>
  <c r="G17" i="14"/>
  <c r="F17" i="14"/>
  <c r="E17" i="14"/>
  <c r="D17" i="14" s="1"/>
  <c r="C17" i="14"/>
  <c r="B17" i="14"/>
  <c r="AM16" i="14"/>
  <c r="AD16" i="14"/>
  <c r="U16" i="14"/>
  <c r="M16" i="14"/>
  <c r="H16" i="14"/>
  <c r="G16" i="14"/>
  <c r="F16" i="14"/>
  <c r="E16" i="14"/>
  <c r="D16" i="14"/>
  <c r="C16" i="14"/>
  <c r="B16" i="14"/>
  <c r="AQ15" i="14"/>
  <c r="AP15" i="14"/>
  <c r="AO15" i="14"/>
  <c r="AN15" i="14"/>
  <c r="AL15" i="14"/>
  <c r="AK15" i="14"/>
  <c r="AH15" i="14"/>
  <c r="AG15" i="14"/>
  <c r="AF15" i="14"/>
  <c r="AE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H15" i="14"/>
  <c r="G15" i="14"/>
  <c r="E15" i="14"/>
  <c r="C15" i="14"/>
  <c r="AM14" i="14"/>
  <c r="AD14" i="14"/>
  <c r="AD10" i="14" s="1"/>
  <c r="AD11" i="14" s="1"/>
  <c r="U14" i="14"/>
  <c r="H14" i="14"/>
  <c r="G14" i="14"/>
  <c r="F14" i="14"/>
  <c r="F15" i="14" s="1"/>
  <c r="E14" i="14"/>
  <c r="D14" i="14" s="1"/>
  <c r="C14" i="14"/>
  <c r="B14" i="14"/>
  <c r="B10" i="14" s="1"/>
  <c r="AM13" i="14"/>
  <c r="AM15" i="14" s="1"/>
  <c r="AD13" i="14"/>
  <c r="U13" i="14"/>
  <c r="U9" i="14" s="1"/>
  <c r="M13" i="14"/>
  <c r="M15" i="14" s="1"/>
  <c r="H13" i="14"/>
  <c r="G13" i="14"/>
  <c r="F13" i="14"/>
  <c r="E13" i="14"/>
  <c r="D13" i="14"/>
  <c r="C13" i="14"/>
  <c r="B13" i="14"/>
  <c r="AQ10" i="14"/>
  <c r="AQ11" i="14" s="1"/>
  <c r="AP10" i="14"/>
  <c r="AO10" i="14"/>
  <c r="AO11" i="14" s="1"/>
  <c r="AL10" i="14"/>
  <c r="AL11" i="14" s="1"/>
  <c r="AK10" i="14"/>
  <c r="AK11" i="14" s="1"/>
  <c r="AG10" i="14"/>
  <c r="AG11" i="14" s="1"/>
  <c r="AF10" i="14"/>
  <c r="AF11" i="14" s="1"/>
  <c r="AE10" i="14"/>
  <c r="AB10" i="14"/>
  <c r="AB11" i="14" s="1"/>
  <c r="Y10" i="14"/>
  <c r="Y11" i="14" s="1"/>
  <c r="W10" i="14"/>
  <c r="V10" i="14"/>
  <c r="Q10" i="14"/>
  <c r="Q11" i="14" s="1"/>
  <c r="P10" i="14"/>
  <c r="P11" i="14" s="1"/>
  <c r="N10" i="14"/>
  <c r="L10" i="14"/>
  <c r="L11" i="14" s="1"/>
  <c r="AO9" i="14"/>
  <c r="AN9" i="14"/>
  <c r="AL9" i="14"/>
  <c r="AK9" i="14"/>
  <c r="AH9" i="14"/>
  <c r="AE9" i="14"/>
  <c r="AD9" i="14"/>
  <c r="AB9" i="14"/>
  <c r="Y9" i="14"/>
  <c r="X9" i="14"/>
  <c r="T9" i="14"/>
  <c r="Q9" i="14"/>
  <c r="P9" i="14"/>
  <c r="O9" i="14"/>
  <c r="L9" i="14"/>
  <c r="K9" i="14"/>
  <c r="H10" i="28" l="1"/>
  <c r="H11" i="28" s="1"/>
  <c r="Q11" i="28"/>
  <c r="B10" i="28"/>
  <c r="AD11" i="28"/>
  <c r="E22" i="28"/>
  <c r="AM11" i="28"/>
  <c r="U10" i="28"/>
  <c r="U11" i="28" s="1"/>
  <c r="Y11" i="28"/>
  <c r="AM22" i="28"/>
  <c r="L11" i="28"/>
  <c r="AE11" i="28"/>
  <c r="F22" i="28"/>
  <c r="F9" i="28"/>
  <c r="AF11" i="28"/>
  <c r="G9" i="28"/>
  <c r="C10" i="28"/>
  <c r="C20" i="28"/>
  <c r="M20" i="28"/>
  <c r="D20" i="28" s="1"/>
  <c r="H21" i="28"/>
  <c r="H22" i="28" s="1"/>
  <c r="M28" i="28"/>
  <c r="D33" i="28"/>
  <c r="D34" i="28" s="1"/>
  <c r="B20" i="28"/>
  <c r="AD21" i="28"/>
  <c r="AD22" i="28" s="1"/>
  <c r="P22" i="28"/>
  <c r="Y22" i="28"/>
  <c r="AK22" i="28"/>
  <c r="D36" i="28"/>
  <c r="D37" i="28" s="1"/>
  <c r="D14" i="28"/>
  <c r="D15" i="28" s="1"/>
  <c r="E20" i="28"/>
  <c r="B21" i="28"/>
  <c r="B22" i="28" s="1"/>
  <c r="Q22" i="28"/>
  <c r="AB22" i="28"/>
  <c r="AL22" i="28"/>
  <c r="D23" i="28"/>
  <c r="D25" i="28" s="1"/>
  <c r="M34" i="28"/>
  <c r="D39" i="28"/>
  <c r="D40" i="28" s="1"/>
  <c r="K9" i="28"/>
  <c r="B9" i="28" s="1"/>
  <c r="T9" i="28"/>
  <c r="T11" i="28" s="1"/>
  <c r="AN9" i="28"/>
  <c r="AM9" i="28" s="1"/>
  <c r="D9" i="28" s="1"/>
  <c r="F10" i="28"/>
  <c r="F11" i="28" s="1"/>
  <c r="P10" i="28"/>
  <c r="C21" i="28"/>
  <c r="M21" i="28"/>
  <c r="S22" i="28"/>
  <c r="AC22" i="28"/>
  <c r="N11" i="28"/>
  <c r="AN22" i="28"/>
  <c r="D27" i="28"/>
  <c r="D28" i="28" s="1"/>
  <c r="B9" i="14"/>
  <c r="B11" i="14" s="1"/>
  <c r="B22" i="14"/>
  <c r="U10" i="14"/>
  <c r="U11" i="14" s="1"/>
  <c r="E22" i="14"/>
  <c r="D9" i="14"/>
  <c r="E9" i="14"/>
  <c r="W11" i="14"/>
  <c r="D15" i="14"/>
  <c r="AP11" i="14"/>
  <c r="H9" i="14"/>
  <c r="D25" i="14"/>
  <c r="D40" i="14"/>
  <c r="G10" i="14"/>
  <c r="G11" i="14" s="1"/>
  <c r="F21" i="14"/>
  <c r="D23" i="14"/>
  <c r="D20" i="14" s="1"/>
  <c r="F25" i="14"/>
  <c r="D27" i="14"/>
  <c r="D28" i="14" s="1"/>
  <c r="H31" i="14"/>
  <c r="AM9" i="14"/>
  <c r="AM11" i="14" s="1"/>
  <c r="E10" i="14"/>
  <c r="O10" i="14"/>
  <c r="O11" i="14" s="1"/>
  <c r="AH10" i="14"/>
  <c r="AH11" i="14" s="1"/>
  <c r="G21" i="14"/>
  <c r="G22" i="14" s="1"/>
  <c r="AD25" i="14"/>
  <c r="B28" i="14"/>
  <c r="U28" i="14"/>
  <c r="D30" i="14"/>
  <c r="D31" i="14" s="1"/>
  <c r="F40" i="14"/>
  <c r="AM22" i="14"/>
  <c r="E37" i="14"/>
  <c r="M9" i="14"/>
  <c r="H10" i="14"/>
  <c r="S10" i="14"/>
  <c r="S11" i="14" s="1"/>
  <c r="AC10" i="14"/>
  <c r="AC11" i="14" s="1"/>
  <c r="AD15" i="14"/>
  <c r="E20" i="14"/>
  <c r="K10" i="14"/>
  <c r="K11" i="14" s="1"/>
  <c r="T10" i="14"/>
  <c r="T11" i="14" s="1"/>
  <c r="B15" i="14"/>
  <c r="U15" i="14"/>
  <c r="C21" i="14"/>
  <c r="M21" i="14"/>
  <c r="E31" i="14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T40" i="8"/>
  <c r="S40" i="8"/>
  <c r="Q40" i="8"/>
  <c r="P40" i="8"/>
  <c r="O40" i="8"/>
  <c r="N40" i="8"/>
  <c r="L40" i="8"/>
  <c r="K40" i="8"/>
  <c r="F40" i="8"/>
  <c r="E40" i="8"/>
  <c r="AM39" i="8"/>
  <c r="AD39" i="8"/>
  <c r="AD40" i="8" s="1"/>
  <c r="U39" i="8"/>
  <c r="U40" i="8" s="1"/>
  <c r="M39" i="8"/>
  <c r="M40" i="8" s="1"/>
  <c r="H39" i="8"/>
  <c r="H40" i="8" s="1"/>
  <c r="G39" i="8"/>
  <c r="D39" i="8" s="1"/>
  <c r="D40" i="8" s="1"/>
  <c r="F39" i="8"/>
  <c r="E39" i="8"/>
  <c r="C39" i="8"/>
  <c r="C40" i="8" s="1"/>
  <c r="B39" i="8"/>
  <c r="B40" i="8" s="1"/>
  <c r="AM38" i="8"/>
  <c r="AM40" i="8" s="1"/>
  <c r="AD38" i="8"/>
  <c r="U38" i="8"/>
  <c r="M38" i="8"/>
  <c r="H38" i="8"/>
  <c r="G38" i="8"/>
  <c r="F38" i="8"/>
  <c r="E38" i="8"/>
  <c r="D38" i="8"/>
  <c r="C38" i="8"/>
  <c r="B38" i="8"/>
  <c r="Y37" i="8"/>
  <c r="X37" i="8"/>
  <c r="W37" i="8"/>
  <c r="V37" i="8"/>
  <c r="T37" i="8"/>
  <c r="S37" i="8"/>
  <c r="H37" i="8"/>
  <c r="B37" i="8"/>
  <c r="AM36" i="8"/>
  <c r="AD36" i="8"/>
  <c r="AD21" i="8" s="1"/>
  <c r="U36" i="8"/>
  <c r="M36" i="8"/>
  <c r="H36" i="8"/>
  <c r="G36" i="8"/>
  <c r="G37" i="8" s="1"/>
  <c r="F36" i="8"/>
  <c r="F37" i="8" s="1"/>
  <c r="E36" i="8"/>
  <c r="E21" i="8" s="1"/>
  <c r="D36" i="8"/>
  <c r="D37" i="8" s="1"/>
  <c r="C36" i="8"/>
  <c r="C21" i="8" s="1"/>
  <c r="B36" i="8"/>
  <c r="AM35" i="8"/>
  <c r="AD35" i="8"/>
  <c r="U35" i="8"/>
  <c r="U37" i="8" s="1"/>
  <c r="M35" i="8"/>
  <c r="H35" i="8"/>
  <c r="H20" i="8" s="1"/>
  <c r="H9" i="8" s="1"/>
  <c r="G35" i="8"/>
  <c r="G20" i="8" s="1"/>
  <c r="G9" i="8" s="1"/>
  <c r="F35" i="8"/>
  <c r="F20" i="8" s="1"/>
  <c r="F9" i="8" s="1"/>
  <c r="E35" i="8"/>
  <c r="D35" i="8" s="1"/>
  <c r="C35" i="8"/>
  <c r="B35" i="8"/>
  <c r="AH34" i="8"/>
  <c r="AG34" i="8"/>
  <c r="AF34" i="8"/>
  <c r="AE34" i="8"/>
  <c r="AC34" i="8"/>
  <c r="AB34" i="8"/>
  <c r="Y34" i="8"/>
  <c r="X34" i="8"/>
  <c r="W34" i="8"/>
  <c r="V34" i="8"/>
  <c r="U34" i="8"/>
  <c r="T34" i="8"/>
  <c r="S34" i="8"/>
  <c r="E34" i="8"/>
  <c r="C34" i="8"/>
  <c r="AM33" i="8"/>
  <c r="AD33" i="8"/>
  <c r="AD34" i="8" s="1"/>
  <c r="U33" i="8"/>
  <c r="M33" i="8"/>
  <c r="H33" i="8"/>
  <c r="H34" i="8" s="1"/>
  <c r="G33" i="8"/>
  <c r="G34" i="8" s="1"/>
  <c r="F33" i="8"/>
  <c r="F34" i="8" s="1"/>
  <c r="E33" i="8"/>
  <c r="D33" i="8" s="1"/>
  <c r="C33" i="8"/>
  <c r="B33" i="8"/>
  <c r="B34" i="8" s="1"/>
  <c r="AM32" i="8"/>
  <c r="AD32" i="8"/>
  <c r="U32" i="8"/>
  <c r="M32" i="8"/>
  <c r="H32" i="8"/>
  <c r="G32" i="8"/>
  <c r="F32" i="8"/>
  <c r="E32" i="8"/>
  <c r="D32" i="8" s="1"/>
  <c r="D20" i="8" s="1"/>
  <c r="D9" i="8" s="1"/>
  <c r="C32" i="8"/>
  <c r="B32" i="8"/>
  <c r="AQ31" i="8"/>
  <c r="AP31" i="8"/>
  <c r="AO31" i="8"/>
  <c r="AL31" i="8"/>
  <c r="AK31" i="8"/>
  <c r="AH31" i="8"/>
  <c r="AG31" i="8"/>
  <c r="AF31" i="8"/>
  <c r="AE31" i="8"/>
  <c r="AC31" i="8"/>
  <c r="AB31" i="8"/>
  <c r="Y31" i="8"/>
  <c r="X31" i="8"/>
  <c r="W31" i="8"/>
  <c r="V31" i="8"/>
  <c r="T31" i="8"/>
  <c r="S31" i="8"/>
  <c r="Q31" i="8"/>
  <c r="P31" i="8"/>
  <c r="O31" i="8"/>
  <c r="N31" i="8"/>
  <c r="L31" i="8"/>
  <c r="K31" i="8"/>
  <c r="E31" i="8"/>
  <c r="C31" i="8"/>
  <c r="AM30" i="8"/>
  <c r="AM31" i="8" s="1"/>
  <c r="AD30" i="8"/>
  <c r="AD31" i="8" s="1"/>
  <c r="U30" i="8"/>
  <c r="U31" i="8" s="1"/>
  <c r="M30" i="8"/>
  <c r="H30" i="8"/>
  <c r="H31" i="8" s="1"/>
  <c r="G30" i="8"/>
  <c r="G31" i="8" s="1"/>
  <c r="F30" i="8"/>
  <c r="F31" i="8" s="1"/>
  <c r="E30" i="8"/>
  <c r="D30" i="8" s="1"/>
  <c r="D31" i="8" s="1"/>
  <c r="C30" i="8"/>
  <c r="B30" i="8"/>
  <c r="B31" i="8" s="1"/>
  <c r="AM29" i="8"/>
  <c r="AD29" i="8"/>
  <c r="U29" i="8"/>
  <c r="M29" i="8"/>
  <c r="M31" i="8" s="1"/>
  <c r="H29" i="8"/>
  <c r="G29" i="8"/>
  <c r="F29" i="8"/>
  <c r="E29" i="8"/>
  <c r="D29" i="8"/>
  <c r="C29" i="8"/>
  <c r="B29" i="8"/>
  <c r="AQ28" i="8"/>
  <c r="AP28" i="8"/>
  <c r="AO28" i="8"/>
  <c r="AL28" i="8"/>
  <c r="AK28" i="8"/>
  <c r="AH28" i="8"/>
  <c r="AG28" i="8"/>
  <c r="AF28" i="8"/>
  <c r="AE28" i="8"/>
  <c r="AC28" i="8"/>
  <c r="AB28" i="8"/>
  <c r="Y28" i="8"/>
  <c r="X28" i="8"/>
  <c r="W28" i="8"/>
  <c r="V28" i="8"/>
  <c r="T28" i="8"/>
  <c r="S28" i="8"/>
  <c r="Q28" i="8"/>
  <c r="P28" i="8"/>
  <c r="O28" i="8"/>
  <c r="N28" i="8"/>
  <c r="L28" i="8"/>
  <c r="K28" i="8"/>
  <c r="E28" i="8"/>
  <c r="C28" i="8"/>
  <c r="AM27" i="8"/>
  <c r="AM28" i="8" s="1"/>
  <c r="AD27" i="8"/>
  <c r="AD28" i="8" s="1"/>
  <c r="U27" i="8"/>
  <c r="U28" i="8" s="1"/>
  <c r="M27" i="8"/>
  <c r="H27" i="8"/>
  <c r="H28" i="8" s="1"/>
  <c r="G27" i="8"/>
  <c r="G28" i="8" s="1"/>
  <c r="F27" i="8"/>
  <c r="F21" i="8" s="1"/>
  <c r="E27" i="8"/>
  <c r="D27" i="8" s="1"/>
  <c r="D28" i="8" s="1"/>
  <c r="C27" i="8"/>
  <c r="B27" i="8"/>
  <c r="B28" i="8" s="1"/>
  <c r="AM26" i="8"/>
  <c r="AD26" i="8"/>
  <c r="U26" i="8"/>
  <c r="M26" i="8"/>
  <c r="M20" i="8" s="1"/>
  <c r="M9" i="8" s="1"/>
  <c r="H26" i="8"/>
  <c r="G26" i="8"/>
  <c r="F26" i="8"/>
  <c r="E26" i="8"/>
  <c r="D26" i="8"/>
  <c r="C26" i="8"/>
  <c r="B26" i="8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F25" i="8"/>
  <c r="E25" i="8"/>
  <c r="AM24" i="8"/>
  <c r="AM25" i="8" s="1"/>
  <c r="AD24" i="8"/>
  <c r="U24" i="8"/>
  <c r="U25" i="8" s="1"/>
  <c r="M24" i="8"/>
  <c r="M25" i="8" s="1"/>
  <c r="H24" i="8"/>
  <c r="H25" i="8" s="1"/>
  <c r="G24" i="8"/>
  <c r="G25" i="8" s="1"/>
  <c r="F24" i="8"/>
  <c r="E24" i="8"/>
  <c r="D24" i="8" s="1"/>
  <c r="C24" i="8"/>
  <c r="C25" i="8" s="1"/>
  <c r="B24" i="8"/>
  <c r="B25" i="8" s="1"/>
  <c r="AM23" i="8"/>
  <c r="AM20" i="8" s="1"/>
  <c r="AD23" i="8"/>
  <c r="AD20" i="8" s="1"/>
  <c r="U23" i="8"/>
  <c r="M23" i="8"/>
  <c r="H23" i="8"/>
  <c r="G23" i="8"/>
  <c r="F23" i="8"/>
  <c r="E23" i="8"/>
  <c r="D23" i="8"/>
  <c r="C23" i="8"/>
  <c r="B23" i="8"/>
  <c r="AK22" i="8"/>
  <c r="AH22" i="8"/>
  <c r="AG22" i="8"/>
  <c r="Y22" i="8"/>
  <c r="X22" i="8"/>
  <c r="W22" i="8"/>
  <c r="P22" i="8"/>
  <c r="O22" i="8"/>
  <c r="N22" i="8"/>
  <c r="AQ21" i="8"/>
  <c r="AQ22" i="8" s="1"/>
  <c r="AP21" i="8"/>
  <c r="AP22" i="8" s="1"/>
  <c r="AO21" i="8"/>
  <c r="AO22" i="8" s="1"/>
  <c r="AN21" i="8"/>
  <c r="AM21" i="8"/>
  <c r="AM22" i="8" s="1"/>
  <c r="AL21" i="8"/>
  <c r="AL10" i="8" s="1"/>
  <c r="AL11" i="8" s="1"/>
  <c r="AK21" i="8"/>
  <c r="AH21" i="8"/>
  <c r="AG21" i="8"/>
  <c r="AF21" i="8"/>
  <c r="AF22" i="8" s="1"/>
  <c r="AE21" i="8"/>
  <c r="AE22" i="8" s="1"/>
  <c r="AC21" i="8"/>
  <c r="AC22" i="8" s="1"/>
  <c r="AB21" i="8"/>
  <c r="AB10" i="8" s="1"/>
  <c r="AB11" i="8" s="1"/>
  <c r="Y21" i="8"/>
  <c r="X21" i="8"/>
  <c r="W21" i="8"/>
  <c r="V21" i="8"/>
  <c r="V22" i="8" s="1"/>
  <c r="U21" i="8"/>
  <c r="U22" i="8" s="1"/>
  <c r="T21" i="8"/>
  <c r="T22" i="8" s="1"/>
  <c r="S21" i="8"/>
  <c r="S22" i="8" s="1"/>
  <c r="Q21" i="8"/>
  <c r="Q10" i="8" s="1"/>
  <c r="Q11" i="8" s="1"/>
  <c r="P21" i="8"/>
  <c r="O21" i="8"/>
  <c r="N21" i="8"/>
  <c r="L21" i="8"/>
  <c r="L22" i="8" s="1"/>
  <c r="K21" i="8"/>
  <c r="K22" i="8" s="1"/>
  <c r="H21" i="8"/>
  <c r="G21" i="8"/>
  <c r="G10" i="8" s="1"/>
  <c r="B21" i="8"/>
  <c r="B22" i="8" s="1"/>
  <c r="AQ20" i="8"/>
  <c r="AP20" i="8"/>
  <c r="AO20" i="8"/>
  <c r="AO9" i="8" s="1"/>
  <c r="AN20" i="8"/>
  <c r="AL20" i="8"/>
  <c r="AK20" i="8"/>
  <c r="AH20" i="8"/>
  <c r="AG20" i="8"/>
  <c r="AF20" i="8"/>
  <c r="AE20" i="8"/>
  <c r="AE9" i="8" s="1"/>
  <c r="AC20" i="8"/>
  <c r="AB20" i="8"/>
  <c r="Y20" i="8"/>
  <c r="X20" i="8"/>
  <c r="W20" i="8"/>
  <c r="V20" i="8"/>
  <c r="U20" i="8"/>
  <c r="U9" i="8" s="1"/>
  <c r="T20" i="8"/>
  <c r="S20" i="8"/>
  <c r="Q20" i="8"/>
  <c r="P20" i="8"/>
  <c r="O20" i="8"/>
  <c r="N20" i="8"/>
  <c r="L20" i="8"/>
  <c r="L9" i="8" s="1"/>
  <c r="K20" i="8"/>
  <c r="E20" i="8"/>
  <c r="C20" i="8"/>
  <c r="B20" i="8"/>
  <c r="B9" i="8" s="1"/>
  <c r="AM18" i="8"/>
  <c r="AD18" i="8"/>
  <c r="U18" i="8"/>
  <c r="M18" i="8"/>
  <c r="H18" i="8"/>
  <c r="G18" i="8"/>
  <c r="F18" i="8"/>
  <c r="E18" i="8"/>
  <c r="D18" i="8" s="1"/>
  <c r="C18" i="8"/>
  <c r="B18" i="8"/>
  <c r="AM17" i="8"/>
  <c r="AD17" i="8"/>
  <c r="U17" i="8"/>
  <c r="M17" i="8"/>
  <c r="H17" i="8"/>
  <c r="D17" i="8" s="1"/>
  <c r="G17" i="8"/>
  <c r="F17" i="8"/>
  <c r="E17" i="8"/>
  <c r="C17" i="8"/>
  <c r="B17" i="8"/>
  <c r="AM16" i="8"/>
  <c r="AD16" i="8"/>
  <c r="U16" i="8"/>
  <c r="M16" i="8"/>
  <c r="H16" i="8"/>
  <c r="G16" i="8"/>
  <c r="F16" i="8"/>
  <c r="E16" i="8"/>
  <c r="D16" i="8"/>
  <c r="C16" i="8"/>
  <c r="B16" i="8"/>
  <c r="AQ15" i="8"/>
  <c r="AP15" i="8"/>
  <c r="AO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G15" i="8"/>
  <c r="F15" i="8"/>
  <c r="E15" i="8"/>
  <c r="AM14" i="8"/>
  <c r="AD14" i="8"/>
  <c r="AD15" i="8" s="1"/>
  <c r="U14" i="8"/>
  <c r="U15" i="8" s="1"/>
  <c r="M14" i="8"/>
  <c r="H14" i="8"/>
  <c r="H15" i="8" s="1"/>
  <c r="G14" i="8"/>
  <c r="F14" i="8"/>
  <c r="E14" i="8"/>
  <c r="C14" i="8"/>
  <c r="C15" i="8" s="1"/>
  <c r="B14" i="8"/>
  <c r="B15" i="8" s="1"/>
  <c r="AM13" i="8"/>
  <c r="AM15" i="8" s="1"/>
  <c r="AD13" i="8"/>
  <c r="AD9" i="8" s="1"/>
  <c r="U13" i="8"/>
  <c r="M13" i="8"/>
  <c r="H13" i="8"/>
  <c r="G13" i="8"/>
  <c r="F13" i="8"/>
  <c r="E13" i="8"/>
  <c r="D13" i="8"/>
  <c r="C13" i="8"/>
  <c r="B13" i="8"/>
  <c r="AK11" i="8"/>
  <c r="AH11" i="8"/>
  <c r="Y11" i="8"/>
  <c r="X11" i="8"/>
  <c r="P11" i="8"/>
  <c r="O11" i="8"/>
  <c r="AQ10" i="8"/>
  <c r="AQ11" i="8" s="1"/>
  <c r="AP10" i="8"/>
  <c r="AP11" i="8" s="1"/>
  <c r="AO10" i="8"/>
  <c r="AO11" i="8" s="1"/>
  <c r="AN10" i="8"/>
  <c r="AM10" i="8"/>
  <c r="AK10" i="8"/>
  <c r="AH10" i="8"/>
  <c r="AG10" i="8"/>
  <c r="AG11" i="8" s="1"/>
  <c r="AF10" i="8"/>
  <c r="AF11" i="8" s="1"/>
  <c r="AE10" i="8"/>
  <c r="AE11" i="8" s="1"/>
  <c r="AC10" i="8"/>
  <c r="AC11" i="8" s="1"/>
  <c r="Y10" i="8"/>
  <c r="X10" i="8"/>
  <c r="W10" i="8"/>
  <c r="W11" i="8" s="1"/>
  <c r="V10" i="8"/>
  <c r="V11" i="8" s="1"/>
  <c r="U10" i="8"/>
  <c r="U11" i="8" s="1"/>
  <c r="T10" i="8"/>
  <c r="T11" i="8" s="1"/>
  <c r="S10" i="8"/>
  <c r="S11" i="8" s="1"/>
  <c r="P10" i="8"/>
  <c r="O10" i="8"/>
  <c r="N10" i="8"/>
  <c r="N11" i="8" s="1"/>
  <c r="L10" i="8"/>
  <c r="K10" i="8"/>
  <c r="K11" i="8" s="1"/>
  <c r="H10" i="8"/>
  <c r="H11" i="8" s="1"/>
  <c r="B10" i="8"/>
  <c r="AQ9" i="8"/>
  <c r="AP9" i="8"/>
  <c r="AN9" i="8"/>
  <c r="AL9" i="8"/>
  <c r="AK9" i="8"/>
  <c r="AH9" i="8"/>
  <c r="AG9" i="8"/>
  <c r="AF9" i="8"/>
  <c r="AC9" i="8"/>
  <c r="AB9" i="8"/>
  <c r="Y9" i="8"/>
  <c r="X9" i="8"/>
  <c r="W9" i="8"/>
  <c r="V9" i="8"/>
  <c r="T9" i="8"/>
  <c r="S9" i="8"/>
  <c r="Q9" i="8"/>
  <c r="P9" i="8"/>
  <c r="O9" i="8"/>
  <c r="N9" i="8"/>
  <c r="K9" i="8"/>
  <c r="E9" i="8"/>
  <c r="C9" i="8"/>
  <c r="AN11" i="28" l="1"/>
  <c r="C9" i="28"/>
  <c r="C11" i="28" s="1"/>
  <c r="E9" i="28"/>
  <c r="E11" i="28" s="1"/>
  <c r="K11" i="28"/>
  <c r="M22" i="28"/>
  <c r="D21" i="28"/>
  <c r="D22" i="28" s="1"/>
  <c r="B11" i="28"/>
  <c r="C22" i="28"/>
  <c r="G10" i="28"/>
  <c r="G11" i="28" s="1"/>
  <c r="P11" i="28"/>
  <c r="M10" i="28"/>
  <c r="F10" i="14"/>
  <c r="F11" i="14" s="1"/>
  <c r="F22" i="14"/>
  <c r="D21" i="14"/>
  <c r="E11" i="14"/>
  <c r="M10" i="14"/>
  <c r="M11" i="14" s="1"/>
  <c r="M22" i="14"/>
  <c r="C10" i="14"/>
  <c r="C11" i="14" s="1"/>
  <c r="C22" i="14"/>
  <c r="H11" i="14"/>
  <c r="L11" i="8"/>
  <c r="H22" i="8"/>
  <c r="D21" i="8"/>
  <c r="D22" i="8" s="1"/>
  <c r="D25" i="8"/>
  <c r="C22" i="8"/>
  <c r="C10" i="8"/>
  <c r="C11" i="8" s="1"/>
  <c r="E10" i="8"/>
  <c r="E11" i="8" s="1"/>
  <c r="E22" i="8"/>
  <c r="F10" i="8"/>
  <c r="F11" i="8" s="1"/>
  <c r="F22" i="8"/>
  <c r="AD22" i="8"/>
  <c r="AD10" i="8"/>
  <c r="AD11" i="8" s="1"/>
  <c r="G11" i="8"/>
  <c r="D34" i="8"/>
  <c r="B11" i="8"/>
  <c r="M28" i="8"/>
  <c r="G22" i="8"/>
  <c r="Q22" i="8"/>
  <c r="AB22" i="8"/>
  <c r="AL22" i="8"/>
  <c r="F28" i="8"/>
  <c r="C37" i="8"/>
  <c r="G40" i="8"/>
  <c r="D14" i="8"/>
  <c r="M21" i="8"/>
  <c r="M22" i="8" s="1"/>
  <c r="AM9" i="8"/>
  <c r="AM11" i="8" s="1"/>
  <c r="E37" i="8"/>
  <c r="M15" i="8"/>
  <c r="M11" i="28" l="1"/>
  <c r="D10" i="28"/>
  <c r="D11" i="28" s="1"/>
  <c r="D22" i="14"/>
  <c r="D10" i="14"/>
  <c r="D11" i="14" s="1"/>
  <c r="D15" i="8"/>
  <c r="D10" i="8"/>
  <c r="D11" i="8" s="1"/>
  <c r="M10" i="8"/>
  <c r="M11" i="8" s="1"/>
  <c r="AQ39" i="12" l="1"/>
  <c r="AP39" i="12"/>
  <c r="AO39" i="12"/>
  <c r="AN39" i="12"/>
  <c r="AM39" i="12"/>
  <c r="AL39" i="12"/>
  <c r="C39" i="12" s="1"/>
  <c r="AK39" i="12"/>
  <c r="AH39" i="12"/>
  <c r="AG39" i="12"/>
  <c r="AF39" i="12"/>
  <c r="AE39" i="12"/>
  <c r="AD39" i="12"/>
  <c r="AC39" i="12"/>
  <c r="AB39" i="12"/>
  <c r="Y39" i="12"/>
  <c r="X39" i="12"/>
  <c r="W39" i="12"/>
  <c r="V39" i="12"/>
  <c r="U39" i="12"/>
  <c r="T39" i="12"/>
  <c r="T40" i="12" s="1"/>
  <c r="S39" i="12"/>
  <c r="Q39" i="12"/>
  <c r="P39" i="12"/>
  <c r="O39" i="12"/>
  <c r="N39" i="12"/>
  <c r="M39" i="12"/>
  <c r="L39" i="12"/>
  <c r="K39" i="12"/>
  <c r="AQ38" i="12"/>
  <c r="AP38" i="12"/>
  <c r="AO38" i="12"/>
  <c r="AN38" i="12"/>
  <c r="AM38" i="12"/>
  <c r="AL38" i="12"/>
  <c r="AK38" i="12"/>
  <c r="AH38" i="12"/>
  <c r="AH40" i="12" s="1"/>
  <c r="AG38" i="12"/>
  <c r="AF38" i="12"/>
  <c r="AE38" i="12"/>
  <c r="AD38" i="12"/>
  <c r="AC38" i="12"/>
  <c r="AB38" i="12"/>
  <c r="Y38" i="12"/>
  <c r="X38" i="12"/>
  <c r="X40" i="12" s="1"/>
  <c r="W38" i="12"/>
  <c r="V38" i="12"/>
  <c r="U38" i="12"/>
  <c r="T38" i="12"/>
  <c r="S38" i="12"/>
  <c r="Q38" i="12"/>
  <c r="P38" i="12"/>
  <c r="O38" i="12"/>
  <c r="N38" i="12"/>
  <c r="M38" i="12"/>
  <c r="L38" i="12"/>
  <c r="K38" i="12"/>
  <c r="B38" i="12" s="1"/>
  <c r="AQ36" i="12"/>
  <c r="AP36" i="12"/>
  <c r="AO36" i="12"/>
  <c r="AO37" i="12" s="1"/>
  <c r="AN36" i="12"/>
  <c r="AM36" i="12"/>
  <c r="AL36" i="12"/>
  <c r="AK36" i="12"/>
  <c r="AH36" i="12"/>
  <c r="AG36" i="12"/>
  <c r="AF36" i="12"/>
  <c r="AE36" i="12"/>
  <c r="AD36" i="12"/>
  <c r="AC36" i="12"/>
  <c r="AB36" i="12"/>
  <c r="Y36" i="12"/>
  <c r="X36" i="12"/>
  <c r="W36" i="12"/>
  <c r="V36" i="12"/>
  <c r="U36" i="12"/>
  <c r="T36" i="12"/>
  <c r="S36" i="12"/>
  <c r="Q36" i="12"/>
  <c r="P36" i="12"/>
  <c r="G36" i="12" s="1"/>
  <c r="O36" i="12"/>
  <c r="N36" i="12"/>
  <c r="M36" i="12"/>
  <c r="L36" i="12"/>
  <c r="K36" i="12"/>
  <c r="K21" i="12" s="1"/>
  <c r="AQ35" i="12"/>
  <c r="AP35" i="12"/>
  <c r="AO35" i="12"/>
  <c r="AN35" i="12"/>
  <c r="AM35" i="12"/>
  <c r="AL35" i="12"/>
  <c r="AL37" i="12" s="1"/>
  <c r="AK35" i="12"/>
  <c r="AH35" i="12"/>
  <c r="AG35" i="12"/>
  <c r="AF35" i="12"/>
  <c r="AE35" i="12"/>
  <c r="AD35" i="12"/>
  <c r="AC35" i="12"/>
  <c r="AB35" i="12"/>
  <c r="AB37" i="12" s="1"/>
  <c r="Y35" i="12"/>
  <c r="X35" i="12"/>
  <c r="W35" i="12"/>
  <c r="V35" i="12"/>
  <c r="U35" i="12"/>
  <c r="T35" i="12"/>
  <c r="S35" i="12"/>
  <c r="Q35" i="12"/>
  <c r="Q37" i="12" s="1"/>
  <c r="P35" i="12"/>
  <c r="O35" i="12"/>
  <c r="N35" i="12"/>
  <c r="M35" i="12"/>
  <c r="L35" i="12"/>
  <c r="K35" i="12"/>
  <c r="AO34" i="12"/>
  <c r="Q34" i="12"/>
  <c r="AQ33" i="12"/>
  <c r="AQ34" i="12" s="1"/>
  <c r="AP33" i="12"/>
  <c r="AP34" i="12" s="1"/>
  <c r="AO33" i="12"/>
  <c r="AN33" i="12"/>
  <c r="AM33" i="12"/>
  <c r="AL33" i="12"/>
  <c r="AL34" i="12" s="1"/>
  <c r="AK33" i="12"/>
  <c r="AH33" i="12"/>
  <c r="AG33" i="12"/>
  <c r="AG34" i="12" s="1"/>
  <c r="AF33" i="12"/>
  <c r="AE33" i="12"/>
  <c r="AD33" i="12"/>
  <c r="AC33" i="12"/>
  <c r="AB33" i="12"/>
  <c r="AB34" i="12" s="1"/>
  <c r="Y33" i="12"/>
  <c r="X33" i="12"/>
  <c r="W33" i="12"/>
  <c r="W34" i="12" s="1"/>
  <c r="V33" i="12"/>
  <c r="V34" i="12" s="1"/>
  <c r="U33" i="12"/>
  <c r="T33" i="12"/>
  <c r="S33" i="12"/>
  <c r="Q33" i="12"/>
  <c r="P33" i="12"/>
  <c r="O33" i="12"/>
  <c r="N33" i="12"/>
  <c r="N34" i="12" s="1"/>
  <c r="M33" i="12"/>
  <c r="L33" i="12"/>
  <c r="K33" i="12"/>
  <c r="AQ32" i="12"/>
  <c r="AP32" i="12"/>
  <c r="AO32" i="12"/>
  <c r="AN32" i="12"/>
  <c r="AM32" i="12"/>
  <c r="AL32" i="12"/>
  <c r="AK32" i="12"/>
  <c r="AH32" i="12"/>
  <c r="AG32" i="12"/>
  <c r="AF32" i="12"/>
  <c r="AE32" i="12"/>
  <c r="AD32" i="12"/>
  <c r="AC32" i="12"/>
  <c r="AC34" i="12" s="1"/>
  <c r="AB32" i="12"/>
  <c r="Y32" i="12"/>
  <c r="X32" i="12"/>
  <c r="W32" i="12"/>
  <c r="V32" i="12"/>
  <c r="U32" i="12"/>
  <c r="T32" i="12"/>
  <c r="S32" i="12"/>
  <c r="S34" i="12" s="1"/>
  <c r="Q32" i="12"/>
  <c r="P32" i="12"/>
  <c r="O32" i="12"/>
  <c r="N32" i="12"/>
  <c r="M32" i="12"/>
  <c r="L32" i="12"/>
  <c r="K32" i="12"/>
  <c r="AH31" i="12"/>
  <c r="AQ30" i="12"/>
  <c r="AP30" i="12"/>
  <c r="AO30" i="12"/>
  <c r="AN30" i="12"/>
  <c r="AM30" i="12"/>
  <c r="AM31" i="12" s="1"/>
  <c r="AL30" i="12"/>
  <c r="AK30" i="12"/>
  <c r="AH30" i="12"/>
  <c r="AG30" i="12"/>
  <c r="AF30" i="12"/>
  <c r="AF31" i="12" s="1"/>
  <c r="AE30" i="12"/>
  <c r="AD30" i="12"/>
  <c r="AC30" i="12"/>
  <c r="AB30" i="12"/>
  <c r="Y30" i="12"/>
  <c r="X30" i="12"/>
  <c r="W30" i="12"/>
  <c r="V30" i="12"/>
  <c r="U30" i="12"/>
  <c r="T30" i="12"/>
  <c r="S30" i="12"/>
  <c r="Q30" i="12"/>
  <c r="P30" i="12"/>
  <c r="G30" i="12" s="1"/>
  <c r="O30" i="12"/>
  <c r="O31" i="12" s="1"/>
  <c r="N30" i="12"/>
  <c r="M30" i="12"/>
  <c r="L30" i="12"/>
  <c r="K30" i="12"/>
  <c r="AQ29" i="12"/>
  <c r="AP29" i="12"/>
  <c r="AO29" i="12"/>
  <c r="AN29" i="12"/>
  <c r="AM29" i="12"/>
  <c r="AL29" i="12"/>
  <c r="AK29" i="12"/>
  <c r="AH29" i="12"/>
  <c r="AG29" i="12"/>
  <c r="AF29" i="12"/>
  <c r="AE29" i="12"/>
  <c r="AD29" i="12"/>
  <c r="AD31" i="12" s="1"/>
  <c r="AC29" i="12"/>
  <c r="AB29" i="12"/>
  <c r="Y29" i="12"/>
  <c r="X29" i="12"/>
  <c r="W29" i="12"/>
  <c r="V29" i="12"/>
  <c r="U29" i="12"/>
  <c r="T29" i="12"/>
  <c r="T31" i="12" s="1"/>
  <c r="S29" i="12"/>
  <c r="Q29" i="12"/>
  <c r="P29" i="12"/>
  <c r="G29" i="12" s="1"/>
  <c r="O29" i="12"/>
  <c r="N29" i="12"/>
  <c r="M29" i="12"/>
  <c r="L29" i="12"/>
  <c r="K29" i="12"/>
  <c r="AQ27" i="12"/>
  <c r="AP27" i="12"/>
  <c r="AP21" i="12" s="1"/>
  <c r="AO27" i="12"/>
  <c r="AO28" i="12" s="1"/>
  <c r="AN27" i="12"/>
  <c r="AM27" i="12"/>
  <c r="AL27" i="12"/>
  <c r="AK27" i="12"/>
  <c r="AH27" i="12"/>
  <c r="AH28" i="12" s="1"/>
  <c r="AG27" i="12"/>
  <c r="AF27" i="12"/>
  <c r="AE27" i="12"/>
  <c r="AD27" i="12"/>
  <c r="AC27" i="12"/>
  <c r="AB27" i="12"/>
  <c r="Y27" i="12"/>
  <c r="Y28" i="12" s="1"/>
  <c r="X27" i="12"/>
  <c r="X28" i="12" s="1"/>
  <c r="W27" i="12"/>
  <c r="V27" i="12"/>
  <c r="E27" i="12" s="1"/>
  <c r="U27" i="12"/>
  <c r="U28" i="12" s="1"/>
  <c r="T27" i="12"/>
  <c r="S27" i="12"/>
  <c r="Q27" i="12"/>
  <c r="P27" i="12"/>
  <c r="O27" i="12"/>
  <c r="N27" i="12"/>
  <c r="M27" i="12"/>
  <c r="L27" i="12"/>
  <c r="K27" i="12"/>
  <c r="AQ26" i="12"/>
  <c r="AP26" i="12"/>
  <c r="AO26" i="12"/>
  <c r="AN26" i="12"/>
  <c r="AM26" i="12"/>
  <c r="AL26" i="12"/>
  <c r="AK26" i="12"/>
  <c r="AH26" i="12"/>
  <c r="AG26" i="12"/>
  <c r="AG28" i="12" s="1"/>
  <c r="AF26" i="12"/>
  <c r="AE26" i="12"/>
  <c r="AD26" i="12"/>
  <c r="AC26" i="12"/>
  <c r="AB26" i="12"/>
  <c r="Y26" i="12"/>
  <c r="X26" i="12"/>
  <c r="W26" i="12"/>
  <c r="V26" i="12"/>
  <c r="U26" i="12"/>
  <c r="T26" i="12"/>
  <c r="S26" i="12"/>
  <c r="Q26" i="12"/>
  <c r="P26" i="12"/>
  <c r="G26" i="12" s="1"/>
  <c r="O26" i="12"/>
  <c r="N26" i="12"/>
  <c r="M26" i="12"/>
  <c r="L26" i="12"/>
  <c r="K26" i="12"/>
  <c r="AB25" i="12"/>
  <c r="Q25" i="12"/>
  <c r="AQ24" i="12"/>
  <c r="AP24" i="12"/>
  <c r="AO24" i="12"/>
  <c r="AN24" i="12"/>
  <c r="AM24" i="12"/>
  <c r="AL24" i="12"/>
  <c r="AK24" i="12"/>
  <c r="B24" i="12" s="1"/>
  <c r="AH24" i="12"/>
  <c r="AH21" i="12" s="1"/>
  <c r="AG24" i="12"/>
  <c r="AF24" i="12"/>
  <c r="AE24" i="12"/>
  <c r="AD24" i="12"/>
  <c r="AC24" i="12"/>
  <c r="AB24" i="12"/>
  <c r="Y24" i="12"/>
  <c r="X24" i="12"/>
  <c r="W24" i="12"/>
  <c r="V24" i="12"/>
  <c r="U24" i="12"/>
  <c r="T24" i="12"/>
  <c r="S24" i="12"/>
  <c r="Q24" i="12"/>
  <c r="P24" i="12"/>
  <c r="O24" i="12"/>
  <c r="N24" i="12"/>
  <c r="E24" i="12" s="1"/>
  <c r="M24" i="12"/>
  <c r="L24" i="12"/>
  <c r="K24" i="12"/>
  <c r="AQ23" i="12"/>
  <c r="AQ20" i="12" s="1"/>
  <c r="AP23" i="12"/>
  <c r="AP25" i="12" s="1"/>
  <c r="AO23" i="12"/>
  <c r="AO20" i="12" s="1"/>
  <c r="AO9" i="12" s="1"/>
  <c r="AN23" i="12"/>
  <c r="AM23" i="12"/>
  <c r="AL23" i="12"/>
  <c r="AK23" i="12"/>
  <c r="AH23" i="12"/>
  <c r="AG23" i="12"/>
  <c r="AF23" i="12"/>
  <c r="AE23" i="12"/>
  <c r="AD23" i="12"/>
  <c r="AC23" i="12"/>
  <c r="AB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M25" i="12" s="1"/>
  <c r="L23" i="12"/>
  <c r="K23" i="12"/>
  <c r="K20" i="12" s="1"/>
  <c r="AQ18" i="12"/>
  <c r="AP18" i="12"/>
  <c r="AO18" i="12"/>
  <c r="AN18" i="12"/>
  <c r="AM18" i="12"/>
  <c r="AL18" i="12"/>
  <c r="AK18" i="12"/>
  <c r="AH18" i="12"/>
  <c r="AG18" i="12"/>
  <c r="AF18" i="12"/>
  <c r="AE18" i="12"/>
  <c r="AD18" i="12"/>
  <c r="AC18" i="12"/>
  <c r="AB18" i="12"/>
  <c r="Y18" i="12"/>
  <c r="X18" i="12"/>
  <c r="W18" i="12"/>
  <c r="V18" i="12"/>
  <c r="U18" i="12"/>
  <c r="T18" i="12"/>
  <c r="S18" i="12"/>
  <c r="Q18" i="12"/>
  <c r="P18" i="12"/>
  <c r="O18" i="12"/>
  <c r="N18" i="12"/>
  <c r="M18" i="12"/>
  <c r="L18" i="12"/>
  <c r="K18" i="12"/>
  <c r="AQ17" i="12"/>
  <c r="AP17" i="12"/>
  <c r="AO17" i="12"/>
  <c r="AN17" i="12"/>
  <c r="AM17" i="12"/>
  <c r="AL17" i="12"/>
  <c r="AK17" i="12"/>
  <c r="AH17" i="12"/>
  <c r="AG17" i="12"/>
  <c r="AF17" i="12"/>
  <c r="AE17" i="12"/>
  <c r="AD17" i="12"/>
  <c r="AC17" i="12"/>
  <c r="AB17" i="12"/>
  <c r="Y17" i="12"/>
  <c r="X17" i="12"/>
  <c r="G17" i="12" s="1"/>
  <c r="W17" i="12"/>
  <c r="V17" i="12"/>
  <c r="U17" i="12"/>
  <c r="T17" i="12"/>
  <c r="S17" i="12"/>
  <c r="Q17" i="12"/>
  <c r="H17" i="12" s="1"/>
  <c r="P17" i="12"/>
  <c r="O17" i="12"/>
  <c r="N17" i="12"/>
  <c r="M17" i="12"/>
  <c r="L17" i="12"/>
  <c r="K17" i="12"/>
  <c r="AQ16" i="12"/>
  <c r="AP16" i="12"/>
  <c r="AO16" i="12"/>
  <c r="AN16" i="12"/>
  <c r="AM16" i="12"/>
  <c r="AL16" i="12"/>
  <c r="AK16" i="12"/>
  <c r="AH16" i="12"/>
  <c r="AG16" i="12"/>
  <c r="AF16" i="12"/>
  <c r="AE16" i="12"/>
  <c r="AD16" i="12"/>
  <c r="AC16" i="12"/>
  <c r="AB16" i="12"/>
  <c r="Y16" i="12"/>
  <c r="X16" i="12"/>
  <c r="W16" i="12"/>
  <c r="V16" i="12"/>
  <c r="U16" i="12"/>
  <c r="T16" i="12"/>
  <c r="S16" i="12"/>
  <c r="Q16" i="12"/>
  <c r="P16" i="12"/>
  <c r="O16" i="12"/>
  <c r="N16" i="12"/>
  <c r="M16" i="12"/>
  <c r="L16" i="12"/>
  <c r="K16" i="12"/>
  <c r="B16" i="12" s="1"/>
  <c r="G16" i="12"/>
  <c r="AQ14" i="12"/>
  <c r="AP14" i="12"/>
  <c r="AO14" i="12"/>
  <c r="AO15" i="12" s="1"/>
  <c r="AN14" i="12"/>
  <c r="AM14" i="12"/>
  <c r="AL14" i="12"/>
  <c r="AK14" i="12"/>
  <c r="AH14" i="12"/>
  <c r="AG14" i="12"/>
  <c r="AF14" i="12"/>
  <c r="AE14" i="12"/>
  <c r="AE15" i="12" s="1"/>
  <c r="AD14" i="12"/>
  <c r="AD15" i="12" s="1"/>
  <c r="AC14" i="12"/>
  <c r="AB14" i="12"/>
  <c r="Y14" i="12"/>
  <c r="X14" i="12"/>
  <c r="X15" i="12" s="1"/>
  <c r="W14" i="12"/>
  <c r="V14" i="12"/>
  <c r="E14" i="12" s="1"/>
  <c r="U14" i="12"/>
  <c r="U15" i="12" s="1"/>
  <c r="T14" i="12"/>
  <c r="T15" i="12" s="1"/>
  <c r="S14" i="12"/>
  <c r="Q14" i="12"/>
  <c r="P14" i="12"/>
  <c r="O14" i="12"/>
  <c r="O15" i="12" s="1"/>
  <c r="N14" i="12"/>
  <c r="L14" i="12"/>
  <c r="L15" i="12" s="1"/>
  <c r="K14" i="12"/>
  <c r="AQ13" i="12"/>
  <c r="AP13" i="12"/>
  <c r="AO13" i="12"/>
  <c r="AN13" i="12"/>
  <c r="AM13" i="12"/>
  <c r="AL13" i="12"/>
  <c r="AK13" i="12"/>
  <c r="AH13" i="12"/>
  <c r="AG13" i="12"/>
  <c r="AF13" i="12"/>
  <c r="AE13" i="12"/>
  <c r="AD13" i="12"/>
  <c r="AC13" i="12"/>
  <c r="AB13" i="12"/>
  <c r="Y13" i="12"/>
  <c r="X13" i="12"/>
  <c r="W13" i="12"/>
  <c r="V13" i="12"/>
  <c r="U13" i="12"/>
  <c r="T13" i="12"/>
  <c r="S13" i="12"/>
  <c r="Q13" i="12"/>
  <c r="P13" i="12"/>
  <c r="O13" i="12"/>
  <c r="F13" i="12" s="1"/>
  <c r="N13" i="12"/>
  <c r="M13" i="12"/>
  <c r="L13" i="12"/>
  <c r="K13" i="12"/>
  <c r="K9" i="12" s="1"/>
  <c r="E16" i="12" l="1"/>
  <c r="E23" i="12"/>
  <c r="AL25" i="12"/>
  <c r="B26" i="12"/>
  <c r="N28" i="12"/>
  <c r="W28" i="12"/>
  <c r="AQ28" i="12"/>
  <c r="AN31" i="12"/>
  <c r="G33" i="12"/>
  <c r="B33" i="12"/>
  <c r="C36" i="12"/>
  <c r="U37" i="12"/>
  <c r="AE37" i="12"/>
  <c r="F38" i="12"/>
  <c r="S40" i="12"/>
  <c r="AC40" i="12"/>
  <c r="AM40" i="12"/>
  <c r="M37" i="12"/>
  <c r="V37" i="12"/>
  <c r="AF37" i="12"/>
  <c r="AP37" i="12"/>
  <c r="P40" i="12"/>
  <c r="Y40" i="12"/>
  <c r="AK40" i="12"/>
  <c r="AD40" i="12"/>
  <c r="AN40" i="12"/>
  <c r="AN20" i="12"/>
  <c r="AN9" i="12" s="1"/>
  <c r="G14" i="12"/>
  <c r="G15" i="12" s="1"/>
  <c r="G27" i="12"/>
  <c r="G28" i="12" s="1"/>
  <c r="AK28" i="12"/>
  <c r="V31" i="12"/>
  <c r="AP31" i="12"/>
  <c r="AG20" i="12"/>
  <c r="AG9" i="12" s="1"/>
  <c r="AM34" i="12"/>
  <c r="Q15" i="12"/>
  <c r="AB15" i="12"/>
  <c r="AL15" i="12"/>
  <c r="G18" i="12"/>
  <c r="AK20" i="12"/>
  <c r="U25" i="12"/>
  <c r="C23" i="12"/>
  <c r="AQ9" i="12"/>
  <c r="H23" i="12"/>
  <c r="V25" i="12"/>
  <c r="AF25" i="12"/>
  <c r="N20" i="12"/>
  <c r="N9" i="12" s="1"/>
  <c r="W20" i="12"/>
  <c r="W9" i="12" s="1"/>
  <c r="X31" i="12"/>
  <c r="AK37" i="12"/>
  <c r="AG40" i="12"/>
  <c r="AQ40" i="12"/>
  <c r="AN15" i="12"/>
  <c r="T28" i="12"/>
  <c r="AD28" i="12"/>
  <c r="AN28" i="12"/>
  <c r="G31" i="12"/>
  <c r="H30" i="12"/>
  <c r="E33" i="12"/>
  <c r="AF34" i="12"/>
  <c r="O40" i="12"/>
  <c r="B39" i="12"/>
  <c r="AK9" i="12"/>
  <c r="H14" i="12"/>
  <c r="H15" i="12" s="1"/>
  <c r="AM15" i="12"/>
  <c r="AO21" i="12"/>
  <c r="AE28" i="12"/>
  <c r="C29" i="12"/>
  <c r="AE20" i="12"/>
  <c r="F29" i="12"/>
  <c r="E30" i="12"/>
  <c r="F30" i="12"/>
  <c r="F31" i="12" s="1"/>
  <c r="AG31" i="12"/>
  <c r="AQ31" i="12"/>
  <c r="G32" i="12"/>
  <c r="G34" i="12" s="1"/>
  <c r="H32" i="12"/>
  <c r="H38" i="12"/>
  <c r="C38" i="12"/>
  <c r="C40" i="12" s="1"/>
  <c r="L40" i="12"/>
  <c r="U40" i="12"/>
  <c r="AE40" i="12"/>
  <c r="AO40" i="12"/>
  <c r="F32" i="12"/>
  <c r="D32" i="12" s="1"/>
  <c r="H33" i="12"/>
  <c r="H13" i="12"/>
  <c r="C14" i="12"/>
  <c r="C15" i="12" s="1"/>
  <c r="C16" i="12"/>
  <c r="E17" i="12"/>
  <c r="H18" i="12"/>
  <c r="X20" i="12"/>
  <c r="X9" i="12" s="1"/>
  <c r="AH20" i="12"/>
  <c r="AH9" i="12" s="1"/>
  <c r="F27" i="12"/>
  <c r="M31" i="12"/>
  <c r="K34" i="12"/>
  <c r="T34" i="12"/>
  <c r="AD34" i="12"/>
  <c r="AN34" i="12"/>
  <c r="B35" i="12"/>
  <c r="E35" i="12"/>
  <c r="G38" i="12"/>
  <c r="M40" i="12"/>
  <c r="V40" i="12"/>
  <c r="AF40" i="12"/>
  <c r="AP40" i="12"/>
  <c r="Y37" i="12"/>
  <c r="P37" i="12"/>
  <c r="M14" i="12"/>
  <c r="C24" i="12"/>
  <c r="AE25" i="12"/>
  <c r="AO25" i="12"/>
  <c r="AB28" i="12"/>
  <c r="Q31" i="12"/>
  <c r="AB31" i="12"/>
  <c r="B32" i="12"/>
  <c r="B34" i="12" s="1"/>
  <c r="E32" i="12"/>
  <c r="M34" i="12"/>
  <c r="K40" i="12"/>
  <c r="P28" i="12"/>
  <c r="C33" i="12"/>
  <c r="S31" i="12"/>
  <c r="AC31" i="12"/>
  <c r="W31" i="12"/>
  <c r="H35" i="12"/>
  <c r="AH15" i="12"/>
  <c r="B17" i="12"/>
  <c r="AB20" i="12"/>
  <c r="AB9" i="12" s="1"/>
  <c r="AL20" i="12"/>
  <c r="AL9" i="12" s="1"/>
  <c r="H29" i="12"/>
  <c r="H31" i="12" s="1"/>
  <c r="O34" i="12"/>
  <c r="X34" i="12"/>
  <c r="AH34" i="12"/>
  <c r="G35" i="12"/>
  <c r="AD37" i="12"/>
  <c r="AN37" i="12"/>
  <c r="AO22" i="12"/>
  <c r="AO10" i="12"/>
  <c r="AO11" i="12" s="1"/>
  <c r="C13" i="12"/>
  <c r="F23" i="12"/>
  <c r="O20" i="12"/>
  <c r="O9" i="12" s="1"/>
  <c r="F16" i="12"/>
  <c r="B18" i="12"/>
  <c r="K22" i="12"/>
  <c r="G23" i="12"/>
  <c r="E25" i="12"/>
  <c r="Q20" i="12"/>
  <c r="Q9" i="12" s="1"/>
  <c r="H26" i="12"/>
  <c r="AL31" i="12"/>
  <c r="C30" i="12"/>
  <c r="C31" i="12" s="1"/>
  <c r="C34" i="12"/>
  <c r="U34" i="12"/>
  <c r="AE34" i="12"/>
  <c r="P15" i="12"/>
  <c r="G24" i="12"/>
  <c r="P21" i="12"/>
  <c r="AC15" i="12"/>
  <c r="E34" i="12"/>
  <c r="L37" i="12"/>
  <c r="B40" i="12"/>
  <c r="Y25" i="12"/>
  <c r="H24" i="12"/>
  <c r="AL28" i="12"/>
  <c r="AL21" i="12"/>
  <c r="S10" i="12"/>
  <c r="S15" i="12"/>
  <c r="P25" i="12"/>
  <c r="C32" i="12"/>
  <c r="L34" i="12"/>
  <c r="C35" i="12"/>
  <c r="Y15" i="12"/>
  <c r="AK15" i="12"/>
  <c r="AK21" i="12"/>
  <c r="AK25" i="12"/>
  <c r="Q28" i="12"/>
  <c r="H27" i="12"/>
  <c r="Q21" i="12"/>
  <c r="G13" i="12"/>
  <c r="L21" i="12"/>
  <c r="C17" i="12"/>
  <c r="E18" i="12"/>
  <c r="Y21" i="12"/>
  <c r="T20" i="12"/>
  <c r="T9" i="12" s="1"/>
  <c r="C26" i="12"/>
  <c r="AB21" i="12"/>
  <c r="B29" i="12"/>
  <c r="K31" i="12"/>
  <c r="O21" i="12"/>
  <c r="O25" i="12"/>
  <c r="F24" i="12"/>
  <c r="X21" i="12"/>
  <c r="X25" i="12"/>
  <c r="AH22" i="12"/>
  <c r="AH10" i="12"/>
  <c r="AH11" i="12" s="1"/>
  <c r="AH25" i="12"/>
  <c r="AE9" i="12"/>
  <c r="AD20" i="12"/>
  <c r="K37" i="12"/>
  <c r="B36" i="12"/>
  <c r="T21" i="12"/>
  <c r="T37" i="12"/>
  <c r="AC28" i="12"/>
  <c r="B13" i="12"/>
  <c r="B14" i="12"/>
  <c r="K15" i="12"/>
  <c r="C18" i="12"/>
  <c r="L20" i="12"/>
  <c r="L9" i="12" s="1"/>
  <c r="Y20" i="12"/>
  <c r="Y9" i="12" s="1"/>
  <c r="AE21" i="12"/>
  <c r="S20" i="12"/>
  <c r="S9" i="12" s="1"/>
  <c r="AC20" i="12"/>
  <c r="AC9" i="12" s="1"/>
  <c r="S25" i="12"/>
  <c r="S21" i="12"/>
  <c r="AC25" i="12"/>
  <c r="AC21" i="12"/>
  <c r="AC22" i="12" s="1"/>
  <c r="AM25" i="12"/>
  <c r="B27" i="12"/>
  <c r="K28" i="12"/>
  <c r="L31" i="12"/>
  <c r="U31" i="12"/>
  <c r="AE31" i="12"/>
  <c r="AO31" i="12"/>
  <c r="N37" i="12"/>
  <c r="W37" i="12"/>
  <c r="AG37" i="12"/>
  <c r="AQ37" i="12"/>
  <c r="N40" i="12"/>
  <c r="E39" i="12"/>
  <c r="W40" i="12"/>
  <c r="F39" i="12"/>
  <c r="F40" i="12" s="1"/>
  <c r="AM28" i="12"/>
  <c r="B30" i="12"/>
  <c r="AF21" i="12"/>
  <c r="B23" i="12"/>
  <c r="K25" i="12"/>
  <c r="T25" i="12"/>
  <c r="AD25" i="12"/>
  <c r="AN25" i="12"/>
  <c r="C27" i="12"/>
  <c r="L28" i="12"/>
  <c r="E29" i="12"/>
  <c r="N31" i="12"/>
  <c r="F35" i="12"/>
  <c r="D35" i="12" s="1"/>
  <c r="O37" i="12"/>
  <c r="X37" i="12"/>
  <c r="AH37" i="12"/>
  <c r="E38" i="12"/>
  <c r="D38" i="12" s="1"/>
  <c r="G37" i="12"/>
  <c r="G39" i="12"/>
  <c r="G40" i="12" s="1"/>
  <c r="S28" i="12"/>
  <c r="V15" i="12"/>
  <c r="AP15" i="12"/>
  <c r="AP10" i="12"/>
  <c r="M28" i="12"/>
  <c r="AF28" i="12"/>
  <c r="AP28" i="12"/>
  <c r="E13" i="12"/>
  <c r="E15" i="12" s="1"/>
  <c r="N15" i="12"/>
  <c r="W15" i="12"/>
  <c r="AG15" i="12"/>
  <c r="AQ15" i="12"/>
  <c r="F17" i="12"/>
  <c r="D17" i="12" s="1"/>
  <c r="F18" i="12"/>
  <c r="P20" i="12"/>
  <c r="P9" i="12" s="1"/>
  <c r="V20" i="12"/>
  <c r="AF20" i="12"/>
  <c r="AF9" i="12" s="1"/>
  <c r="AP20" i="12"/>
  <c r="AM20" i="12" s="1"/>
  <c r="E26" i="12"/>
  <c r="E28" i="12" s="1"/>
  <c r="N21" i="12"/>
  <c r="W21" i="12"/>
  <c r="AG21" i="12"/>
  <c r="AQ21" i="12"/>
  <c r="O28" i="12"/>
  <c r="P34" i="12"/>
  <c r="Y34" i="12"/>
  <c r="AK34" i="12"/>
  <c r="E36" i="12"/>
  <c r="H36" i="12"/>
  <c r="H37" i="12" s="1"/>
  <c r="Q40" i="12"/>
  <c r="AB40" i="12"/>
  <c r="AL40" i="12"/>
  <c r="V9" i="12"/>
  <c r="M15" i="12"/>
  <c r="AF15" i="12"/>
  <c r="L25" i="12"/>
  <c r="V28" i="12"/>
  <c r="K10" i="12"/>
  <c r="K11" i="12" s="1"/>
  <c r="F14" i="12"/>
  <c r="H16" i="12"/>
  <c r="V21" i="12"/>
  <c r="AN21" i="12"/>
  <c r="N25" i="12"/>
  <c r="W25" i="12"/>
  <c r="AG25" i="12"/>
  <c r="AQ25" i="12"/>
  <c r="F26" i="12"/>
  <c r="F28" i="12" s="1"/>
  <c r="P31" i="12"/>
  <c r="Y31" i="12"/>
  <c r="AK31" i="12"/>
  <c r="F33" i="12"/>
  <c r="F36" i="12"/>
  <c r="F37" i="12" s="1"/>
  <c r="S37" i="12"/>
  <c r="AC37" i="12"/>
  <c r="AM37" i="12"/>
  <c r="H39" i="12"/>
  <c r="H40" i="12" s="1"/>
  <c r="D30" i="12" l="1"/>
  <c r="B28" i="12"/>
  <c r="C25" i="12"/>
  <c r="C37" i="12"/>
  <c r="C20" i="12"/>
  <c r="F34" i="12"/>
  <c r="AP9" i="12"/>
  <c r="AM9" i="12" s="1"/>
  <c r="B37" i="12"/>
  <c r="D16" i="12"/>
  <c r="AF22" i="12"/>
  <c r="AP22" i="12"/>
  <c r="M20" i="12"/>
  <c r="H20" i="12"/>
  <c r="H9" i="12" s="1"/>
  <c r="G20" i="12"/>
  <c r="G9" i="12" s="1"/>
  <c r="M9" i="12"/>
  <c r="B20" i="12"/>
  <c r="B9" i="12" s="1"/>
  <c r="B31" i="12"/>
  <c r="D18" i="12"/>
  <c r="H34" i="12"/>
  <c r="N10" i="12"/>
  <c r="M21" i="12"/>
  <c r="N22" i="12"/>
  <c r="D29" i="12"/>
  <c r="D31" i="12" s="1"/>
  <c r="E31" i="12"/>
  <c r="AB10" i="12"/>
  <c r="AB11" i="12" s="1"/>
  <c r="AB22" i="12"/>
  <c r="AD9" i="12"/>
  <c r="S11" i="12"/>
  <c r="P10" i="12"/>
  <c r="P11" i="12" s="1"/>
  <c r="P22" i="12"/>
  <c r="D23" i="12"/>
  <c r="U21" i="12"/>
  <c r="V22" i="12"/>
  <c r="V10" i="12"/>
  <c r="C28" i="12"/>
  <c r="C21" i="12"/>
  <c r="AE22" i="12"/>
  <c r="AD21" i="12"/>
  <c r="AD22" i="12" s="1"/>
  <c r="AE10" i="12"/>
  <c r="O22" i="12"/>
  <c r="O10" i="12"/>
  <c r="O11" i="12" s="1"/>
  <c r="G21" i="12"/>
  <c r="G25" i="12"/>
  <c r="C9" i="12"/>
  <c r="AF10" i="12"/>
  <c r="AF11" i="12" s="1"/>
  <c r="U9" i="12"/>
  <c r="Q10" i="12"/>
  <c r="Q11" i="12" s="1"/>
  <c r="Q22" i="12"/>
  <c r="U20" i="12"/>
  <c r="D13" i="12"/>
  <c r="Y10" i="12"/>
  <c r="Y11" i="12" s="1"/>
  <c r="Y22" i="12"/>
  <c r="H28" i="12"/>
  <c r="D27" i="12"/>
  <c r="D33" i="12"/>
  <c r="D34" i="12" s="1"/>
  <c r="AQ22" i="12"/>
  <c r="AQ10" i="12"/>
  <c r="AQ11" i="12" s="1"/>
  <c r="H25" i="12"/>
  <c r="H21" i="12"/>
  <c r="E37" i="12"/>
  <c r="D36" i="12"/>
  <c r="D37" i="12" s="1"/>
  <c r="AN22" i="12"/>
  <c r="AM21" i="12"/>
  <c r="AM22" i="12" s="1"/>
  <c r="AN10" i="12"/>
  <c r="E20" i="12"/>
  <c r="D26" i="12"/>
  <c r="AG10" i="12"/>
  <c r="AG11" i="12" s="1"/>
  <c r="AG22" i="12"/>
  <c r="D39" i="12"/>
  <c r="D40" i="12" s="1"/>
  <c r="E40" i="12"/>
  <c r="E21" i="12"/>
  <c r="B25" i="12"/>
  <c r="F21" i="12"/>
  <c r="F25" i="12"/>
  <c r="T22" i="12"/>
  <c r="T10" i="12"/>
  <c r="T11" i="12" s="1"/>
  <c r="AL10" i="12"/>
  <c r="AL11" i="12" s="1"/>
  <c r="AL22" i="12"/>
  <c r="F15" i="12"/>
  <c r="D14" i="12"/>
  <c r="S22" i="12"/>
  <c r="W22" i="12"/>
  <c r="W10" i="12"/>
  <c r="W11" i="12" s="1"/>
  <c r="B15" i="12"/>
  <c r="X22" i="12"/>
  <c r="X10" i="12"/>
  <c r="X11" i="12" s="1"/>
  <c r="L22" i="12"/>
  <c r="L10" i="12"/>
  <c r="L11" i="12" s="1"/>
  <c r="AK10" i="12"/>
  <c r="AK11" i="12" s="1"/>
  <c r="AK22" i="12"/>
  <c r="AC10" i="12"/>
  <c r="AC11" i="12" s="1"/>
  <c r="D24" i="12"/>
  <c r="F20" i="12"/>
  <c r="F9" i="12" s="1"/>
  <c r="B21" i="12"/>
  <c r="B22" i="12" s="1"/>
  <c r="F22" i="12" l="1"/>
  <c r="AP11" i="12"/>
  <c r="D20" i="12"/>
  <c r="D15" i="12"/>
  <c r="D25" i="12"/>
  <c r="M22" i="12"/>
  <c r="F10" i="12"/>
  <c r="F11" i="12" s="1"/>
  <c r="D21" i="12"/>
  <c r="D22" i="12" s="1"/>
  <c r="E22" i="12"/>
  <c r="E10" i="12"/>
  <c r="G22" i="12"/>
  <c r="G10" i="12"/>
  <c r="G11" i="12" s="1"/>
  <c r="AM10" i="12"/>
  <c r="AM11" i="12" s="1"/>
  <c r="AN11" i="12"/>
  <c r="B10" i="12"/>
  <c r="B11" i="12" s="1"/>
  <c r="D28" i="12"/>
  <c r="U22" i="12"/>
  <c r="U10" i="12"/>
  <c r="U11" i="12" s="1"/>
  <c r="V11" i="12"/>
  <c r="AE11" i="12"/>
  <c r="AD10" i="12"/>
  <c r="AD11" i="12" s="1"/>
  <c r="H22" i="12"/>
  <c r="H10" i="12"/>
  <c r="H11" i="12" s="1"/>
  <c r="E9" i="12"/>
  <c r="D9" i="12" s="1"/>
  <c r="C22" i="12"/>
  <c r="C10" i="12"/>
  <c r="C11" i="12" s="1"/>
  <c r="N11" i="12"/>
  <c r="M10" i="12"/>
  <c r="M11" i="12" s="1"/>
  <c r="E11" i="12" l="1"/>
  <c r="D10" i="12"/>
  <c r="D11" i="12" s="1"/>
  <c r="AQ40" i="27" l="1"/>
  <c r="AP40" i="27"/>
  <c r="AO40" i="27"/>
  <c r="AN40" i="27"/>
  <c r="AL40" i="27"/>
  <c r="AK40" i="27"/>
  <c r="AH40" i="27"/>
  <c r="AG40" i="27"/>
  <c r="AF40" i="27"/>
  <c r="AE40" i="27"/>
  <c r="AD40" i="27"/>
  <c r="AC40" i="27"/>
  <c r="AB40" i="27"/>
  <c r="Y40" i="27"/>
  <c r="X40" i="27"/>
  <c r="W40" i="27"/>
  <c r="V40" i="27"/>
  <c r="T40" i="27"/>
  <c r="S40" i="27"/>
  <c r="Q40" i="27"/>
  <c r="P40" i="27"/>
  <c r="O40" i="27"/>
  <c r="N40" i="27"/>
  <c r="M40" i="27"/>
  <c r="L40" i="27"/>
  <c r="K40" i="27"/>
  <c r="G40" i="27"/>
  <c r="F40" i="27"/>
  <c r="C40" i="27"/>
  <c r="U39" i="27"/>
  <c r="U40" i="27" s="1"/>
  <c r="M39" i="27"/>
  <c r="H39" i="27"/>
  <c r="H40" i="27" s="1"/>
  <c r="G39" i="27"/>
  <c r="F39" i="27"/>
  <c r="E39" i="27"/>
  <c r="E40" i="27" s="1"/>
  <c r="D39" i="27"/>
  <c r="D40" i="27" s="1"/>
  <c r="C39" i="27"/>
  <c r="B39" i="27"/>
  <c r="B40" i="27" s="1"/>
  <c r="AM38" i="27"/>
  <c r="AM40" i="27" s="1"/>
  <c r="H38" i="27"/>
  <c r="G38" i="27"/>
  <c r="F38" i="27"/>
  <c r="E38" i="27"/>
  <c r="D38" i="27"/>
  <c r="C38" i="27"/>
  <c r="B38" i="27"/>
  <c r="AQ37" i="27"/>
  <c r="AP37" i="27"/>
  <c r="AO37" i="27"/>
  <c r="AN37" i="27"/>
  <c r="AL37" i="27"/>
  <c r="AK37" i="27"/>
  <c r="AH37" i="27"/>
  <c r="AG37" i="27"/>
  <c r="AF37" i="27"/>
  <c r="AE37" i="27"/>
  <c r="AD37" i="27"/>
  <c r="AC37" i="27"/>
  <c r="AB37" i="27"/>
  <c r="Y37" i="27"/>
  <c r="X37" i="27"/>
  <c r="W37" i="27"/>
  <c r="V37" i="27"/>
  <c r="U37" i="27"/>
  <c r="T37" i="27"/>
  <c r="S37" i="27"/>
  <c r="Q37" i="27"/>
  <c r="P37" i="27"/>
  <c r="O37" i="27"/>
  <c r="N37" i="27"/>
  <c r="M37" i="27"/>
  <c r="L37" i="27"/>
  <c r="K37" i="27"/>
  <c r="G37" i="27"/>
  <c r="E37" i="27"/>
  <c r="C37" i="27"/>
  <c r="B37" i="27"/>
  <c r="U36" i="27"/>
  <c r="M36" i="27"/>
  <c r="H36" i="27"/>
  <c r="H37" i="27" s="1"/>
  <c r="G36" i="27"/>
  <c r="F36" i="27"/>
  <c r="F37" i="27" s="1"/>
  <c r="E36" i="27"/>
  <c r="D36" i="27"/>
  <c r="D37" i="27" s="1"/>
  <c r="C36" i="27"/>
  <c r="B36" i="27"/>
  <c r="AM35" i="27"/>
  <c r="AM37" i="27" s="1"/>
  <c r="H35" i="27"/>
  <c r="G35" i="27"/>
  <c r="F35" i="27"/>
  <c r="E35" i="27"/>
  <c r="D35" i="27"/>
  <c r="C35" i="27"/>
  <c r="B35" i="27"/>
  <c r="AQ34" i="27"/>
  <c r="AP34" i="27"/>
  <c r="AO34" i="27"/>
  <c r="AN34" i="27"/>
  <c r="AL34" i="27"/>
  <c r="AK34" i="27"/>
  <c r="AH34" i="27"/>
  <c r="AG34" i="27"/>
  <c r="AF34" i="27"/>
  <c r="AE34" i="27"/>
  <c r="AD34" i="27"/>
  <c r="AC34" i="27"/>
  <c r="AB34" i="27"/>
  <c r="Y34" i="27"/>
  <c r="X34" i="27"/>
  <c r="W34" i="27"/>
  <c r="V34" i="27"/>
  <c r="U34" i="27"/>
  <c r="T34" i="27"/>
  <c r="S34" i="27"/>
  <c r="Q34" i="27"/>
  <c r="P34" i="27"/>
  <c r="O34" i="27"/>
  <c r="N34" i="27"/>
  <c r="M34" i="27"/>
  <c r="L34" i="27"/>
  <c r="K34" i="27"/>
  <c r="M33" i="27"/>
  <c r="D33" i="27" s="1"/>
  <c r="D34" i="27" s="1"/>
  <c r="H33" i="27"/>
  <c r="H34" i="27" s="1"/>
  <c r="G33" i="27"/>
  <c r="G34" i="27" s="1"/>
  <c r="F33" i="27"/>
  <c r="F34" i="27" s="1"/>
  <c r="E33" i="27"/>
  <c r="E34" i="27" s="1"/>
  <c r="C33" i="27"/>
  <c r="C34" i="27" s="1"/>
  <c r="B33" i="27"/>
  <c r="B34" i="27" s="1"/>
  <c r="AM32" i="27"/>
  <c r="D32" i="27" s="1"/>
  <c r="H32" i="27"/>
  <c r="G32" i="27"/>
  <c r="F32" i="27"/>
  <c r="E32" i="27"/>
  <c r="C32" i="27"/>
  <c r="B32" i="27"/>
  <c r="AQ31" i="27"/>
  <c r="AP31" i="27"/>
  <c r="AO31" i="27"/>
  <c r="AN31" i="27"/>
  <c r="AL31" i="27"/>
  <c r="AK31" i="27"/>
  <c r="AH31" i="27"/>
  <c r="AG31" i="27"/>
  <c r="AF31" i="27"/>
  <c r="AE31" i="27"/>
  <c r="AD31" i="27"/>
  <c r="AC31" i="27"/>
  <c r="AB31" i="27"/>
  <c r="Y31" i="27"/>
  <c r="X31" i="27"/>
  <c r="W31" i="27"/>
  <c r="V31" i="27"/>
  <c r="U31" i="27"/>
  <c r="T31" i="27"/>
  <c r="S31" i="27"/>
  <c r="Q31" i="27"/>
  <c r="P31" i="27"/>
  <c r="O31" i="27"/>
  <c r="N31" i="27"/>
  <c r="L31" i="27"/>
  <c r="K31" i="27"/>
  <c r="F31" i="27"/>
  <c r="B31" i="27"/>
  <c r="U30" i="27"/>
  <c r="D30" i="27" s="1"/>
  <c r="D31" i="27" s="1"/>
  <c r="M30" i="27"/>
  <c r="M31" i="27" s="1"/>
  <c r="H30" i="27"/>
  <c r="H31" i="27" s="1"/>
  <c r="G30" i="27"/>
  <c r="G31" i="27" s="1"/>
  <c r="F30" i="27"/>
  <c r="E30" i="27"/>
  <c r="E31" i="27" s="1"/>
  <c r="C30" i="27"/>
  <c r="C31" i="27" s="1"/>
  <c r="B30" i="27"/>
  <c r="AM29" i="27"/>
  <c r="AM31" i="27" s="1"/>
  <c r="H29" i="27"/>
  <c r="G29" i="27"/>
  <c r="F29" i="27"/>
  <c r="E29" i="27"/>
  <c r="D29" i="27"/>
  <c r="C29" i="27"/>
  <c r="B29" i="27"/>
  <c r="AQ28" i="27"/>
  <c r="AP28" i="27"/>
  <c r="AO28" i="27"/>
  <c r="AN28" i="27"/>
  <c r="AM28" i="27"/>
  <c r="AL28" i="27"/>
  <c r="AK28" i="27"/>
  <c r="AH28" i="27"/>
  <c r="AG28" i="27"/>
  <c r="AF28" i="27"/>
  <c r="AE28" i="27"/>
  <c r="AC28" i="27"/>
  <c r="AB28" i="27"/>
  <c r="Y28" i="27"/>
  <c r="X28" i="27"/>
  <c r="W28" i="27"/>
  <c r="V28" i="27"/>
  <c r="U28" i="27"/>
  <c r="T28" i="27"/>
  <c r="S28" i="27"/>
  <c r="Q28" i="27"/>
  <c r="P28" i="27"/>
  <c r="O28" i="27"/>
  <c r="N28" i="27"/>
  <c r="M28" i="27"/>
  <c r="L28" i="27"/>
  <c r="K28" i="27"/>
  <c r="F28" i="27"/>
  <c r="E28" i="27"/>
  <c r="B28" i="27"/>
  <c r="AD27" i="27"/>
  <c r="AD28" i="27" s="1"/>
  <c r="U27" i="27"/>
  <c r="M27" i="27"/>
  <c r="H27" i="27"/>
  <c r="H28" i="27" s="1"/>
  <c r="G27" i="27"/>
  <c r="G28" i="27" s="1"/>
  <c r="F27" i="27"/>
  <c r="E27" i="27"/>
  <c r="D27" i="27"/>
  <c r="D28" i="27" s="1"/>
  <c r="C27" i="27"/>
  <c r="C28" i="27" s="1"/>
  <c r="B27" i="27"/>
  <c r="AM26" i="27"/>
  <c r="H26" i="27"/>
  <c r="G26" i="27"/>
  <c r="F26" i="27"/>
  <c r="E26" i="27"/>
  <c r="D26" i="27"/>
  <c r="C26" i="27"/>
  <c r="B26" i="27"/>
  <c r="AQ25" i="27"/>
  <c r="AP25" i="27"/>
  <c r="AO25" i="27"/>
  <c r="AN25" i="27"/>
  <c r="AM25" i="27"/>
  <c r="AL25" i="27"/>
  <c r="AK25" i="27"/>
  <c r="AH25" i="27"/>
  <c r="AG25" i="27"/>
  <c r="AF25" i="27"/>
  <c r="AE25" i="27"/>
  <c r="AC25" i="27"/>
  <c r="AB25" i="27"/>
  <c r="Y25" i="27"/>
  <c r="X25" i="27"/>
  <c r="W25" i="27"/>
  <c r="V25" i="27"/>
  <c r="U25" i="27"/>
  <c r="T25" i="27"/>
  <c r="S25" i="27"/>
  <c r="Q25" i="27"/>
  <c r="P25" i="27"/>
  <c r="O25" i="27"/>
  <c r="N25" i="27"/>
  <c r="L25" i="27"/>
  <c r="K25" i="27"/>
  <c r="G25" i="27"/>
  <c r="C25" i="27"/>
  <c r="B25" i="27"/>
  <c r="AD24" i="27"/>
  <c r="AD25" i="27" s="1"/>
  <c r="U24" i="27"/>
  <c r="M24" i="27"/>
  <c r="M21" i="27" s="1"/>
  <c r="H24" i="27"/>
  <c r="H25" i="27" s="1"/>
  <c r="G24" i="27"/>
  <c r="F24" i="27"/>
  <c r="E24" i="27"/>
  <c r="E25" i="27" s="1"/>
  <c r="C24" i="27"/>
  <c r="B24" i="27"/>
  <c r="H23" i="27"/>
  <c r="G23" i="27"/>
  <c r="F23" i="27"/>
  <c r="F25" i="27" s="1"/>
  <c r="E23" i="27"/>
  <c r="D23" i="27"/>
  <c r="C23" i="27"/>
  <c r="B23" i="27"/>
  <c r="AP22" i="27"/>
  <c r="AL22" i="27"/>
  <c r="AF22" i="27"/>
  <c r="AB22" i="27"/>
  <c r="V22" i="27"/>
  <c r="Q22" i="27"/>
  <c r="AQ21" i="27"/>
  <c r="AQ22" i="27" s="1"/>
  <c r="AP21" i="27"/>
  <c r="AO21" i="27"/>
  <c r="AO22" i="27" s="1"/>
  <c r="AN21" i="27"/>
  <c r="AN22" i="27" s="1"/>
  <c r="AM21" i="27"/>
  <c r="AM22" i="27" s="1"/>
  <c r="AL21" i="27"/>
  <c r="AL10" i="27" s="1"/>
  <c r="AL11" i="27" s="1"/>
  <c r="AK21" i="27"/>
  <c r="B21" i="27" s="1"/>
  <c r="AH21" i="27"/>
  <c r="AH22" i="27" s="1"/>
  <c r="AG21" i="27"/>
  <c r="AG10" i="27" s="1"/>
  <c r="AG11" i="27" s="1"/>
  <c r="AF21" i="27"/>
  <c r="AE21" i="27"/>
  <c r="AE22" i="27" s="1"/>
  <c r="AD21" i="27"/>
  <c r="AD22" i="27" s="1"/>
  <c r="AC21" i="27"/>
  <c r="AC22" i="27" s="1"/>
  <c r="AB21" i="27"/>
  <c r="AB10" i="27" s="1"/>
  <c r="AB11" i="27" s="1"/>
  <c r="Y21" i="27"/>
  <c r="Y10" i="27" s="1"/>
  <c r="Y11" i="27" s="1"/>
  <c r="X21" i="27"/>
  <c r="X22" i="27" s="1"/>
  <c r="W21" i="27"/>
  <c r="W10" i="27" s="1"/>
  <c r="V21" i="27"/>
  <c r="U21" i="27"/>
  <c r="U22" i="27" s="1"/>
  <c r="T21" i="27"/>
  <c r="T22" i="27" s="1"/>
  <c r="S21" i="27"/>
  <c r="S22" i="27" s="1"/>
  <c r="Q21" i="27"/>
  <c r="Q10" i="27" s="1"/>
  <c r="P21" i="27"/>
  <c r="P10" i="27" s="1"/>
  <c r="O21" i="27"/>
  <c r="O22" i="27" s="1"/>
  <c r="N21" i="27"/>
  <c r="N22" i="27" s="1"/>
  <c r="L21" i="27"/>
  <c r="L22" i="27" s="1"/>
  <c r="K21" i="27"/>
  <c r="K22" i="27" s="1"/>
  <c r="F21" i="27"/>
  <c r="AQ20" i="27"/>
  <c r="AP20" i="27"/>
  <c r="AO20" i="27"/>
  <c r="AO9" i="27" s="1"/>
  <c r="AN20" i="27"/>
  <c r="AN9" i="27" s="1"/>
  <c r="E9" i="27" s="1"/>
  <c r="AM20" i="27"/>
  <c r="AL20" i="27"/>
  <c r="AL9" i="27" s="1"/>
  <c r="AK20" i="27"/>
  <c r="AH20" i="27"/>
  <c r="AG20" i="27"/>
  <c r="AF20" i="27"/>
  <c r="AE20" i="27"/>
  <c r="AE9" i="27" s="1"/>
  <c r="AD20" i="27"/>
  <c r="AD9" i="27" s="1"/>
  <c r="AC20" i="27"/>
  <c r="AB20" i="27"/>
  <c r="AB9" i="27" s="1"/>
  <c r="Y20" i="27"/>
  <c r="X20" i="27"/>
  <c r="G20" i="27" s="1"/>
  <c r="W20" i="27"/>
  <c r="V20" i="27"/>
  <c r="U20" i="27"/>
  <c r="U9" i="27" s="1"/>
  <c r="D9" i="27" s="1"/>
  <c r="T20" i="27"/>
  <c r="T9" i="27" s="1"/>
  <c r="S20" i="27"/>
  <c r="Q20" i="27"/>
  <c r="H20" i="27" s="1"/>
  <c r="P20" i="27"/>
  <c r="O20" i="27"/>
  <c r="F20" i="27" s="1"/>
  <c r="N20" i="27"/>
  <c r="M20" i="27"/>
  <c r="L20" i="27"/>
  <c r="L9" i="27" s="1"/>
  <c r="K20" i="27"/>
  <c r="K9" i="27" s="1"/>
  <c r="B9" i="27" s="1"/>
  <c r="D20" i="27"/>
  <c r="H18" i="27"/>
  <c r="G18" i="27"/>
  <c r="F18" i="27"/>
  <c r="E18" i="27"/>
  <c r="D18" i="27"/>
  <c r="C18" i="27"/>
  <c r="B18" i="27"/>
  <c r="M17" i="27"/>
  <c r="H17" i="27"/>
  <c r="G17" i="27"/>
  <c r="F17" i="27"/>
  <c r="E17" i="27"/>
  <c r="D17" i="27"/>
  <c r="C17" i="27"/>
  <c r="B17" i="27"/>
  <c r="M16" i="27"/>
  <c r="H16" i="27"/>
  <c r="G16" i="27"/>
  <c r="F16" i="27"/>
  <c r="E16" i="27"/>
  <c r="D16" i="27"/>
  <c r="C16" i="27"/>
  <c r="B16" i="27"/>
  <c r="AQ15" i="27"/>
  <c r="AP15" i="27"/>
  <c r="AO15" i="27"/>
  <c r="AN15" i="27"/>
  <c r="AL15" i="27"/>
  <c r="AK15" i="27"/>
  <c r="AH15" i="27"/>
  <c r="AG15" i="27"/>
  <c r="AF15" i="27"/>
  <c r="AE15" i="27"/>
  <c r="AD15" i="27"/>
  <c r="AC15" i="27"/>
  <c r="AB15" i="27"/>
  <c r="Y15" i="27"/>
  <c r="X15" i="27"/>
  <c r="W15" i="27"/>
  <c r="V15" i="27"/>
  <c r="T15" i="27"/>
  <c r="S15" i="27"/>
  <c r="Q15" i="27"/>
  <c r="P15" i="27"/>
  <c r="O15" i="27"/>
  <c r="N15" i="27"/>
  <c r="M15" i="27"/>
  <c r="L15" i="27"/>
  <c r="K15" i="27"/>
  <c r="G15" i="27"/>
  <c r="F15" i="27"/>
  <c r="C15" i="27"/>
  <c r="U14" i="27"/>
  <c r="U15" i="27" s="1"/>
  <c r="M14" i="27"/>
  <c r="H14" i="27"/>
  <c r="H15" i="27" s="1"/>
  <c r="G14" i="27"/>
  <c r="F14" i="27"/>
  <c r="E14" i="27"/>
  <c r="E15" i="27" s="1"/>
  <c r="D14" i="27"/>
  <c r="D15" i="27" s="1"/>
  <c r="C14" i="27"/>
  <c r="B14" i="27"/>
  <c r="B15" i="27" s="1"/>
  <c r="AM13" i="27"/>
  <c r="AM15" i="27" s="1"/>
  <c r="H13" i="27"/>
  <c r="G13" i="27"/>
  <c r="F13" i="27"/>
  <c r="E13" i="27"/>
  <c r="D13" i="27"/>
  <c r="C13" i="27"/>
  <c r="B13" i="27"/>
  <c r="AP11" i="27"/>
  <c r="AF11" i="27"/>
  <c r="V11" i="27"/>
  <c r="AP10" i="27"/>
  <c r="AO10" i="27"/>
  <c r="AN10" i="27"/>
  <c r="AM10" i="27"/>
  <c r="AM11" i="27" s="1"/>
  <c r="AH10" i="27"/>
  <c r="AH11" i="27" s="1"/>
  <c r="AF10" i="27"/>
  <c r="AE10" i="27"/>
  <c r="AE11" i="27" s="1"/>
  <c r="AD10" i="27"/>
  <c r="AC10" i="27"/>
  <c r="AC11" i="27" s="1"/>
  <c r="X10" i="27"/>
  <c r="X11" i="27" s="1"/>
  <c r="V10" i="27"/>
  <c r="U10" i="27"/>
  <c r="T10" i="27"/>
  <c r="S10" i="27"/>
  <c r="S11" i="27" s="1"/>
  <c r="O10" i="27"/>
  <c r="O11" i="27" s="1"/>
  <c r="L10" i="27"/>
  <c r="K10" i="27"/>
  <c r="AQ9" i="27"/>
  <c r="AP9" i="27"/>
  <c r="AM9" i="27"/>
  <c r="AK9" i="27"/>
  <c r="AH9" i="27"/>
  <c r="AG9" i="27"/>
  <c r="AF9" i="27"/>
  <c r="AC9" i="27"/>
  <c r="Y9" i="27"/>
  <c r="X9" i="27"/>
  <c r="W9" i="27"/>
  <c r="V9" i="27"/>
  <c r="S9" i="27"/>
  <c r="P9" i="27"/>
  <c r="G9" i="27" s="1"/>
  <c r="O9" i="27"/>
  <c r="N9" i="27"/>
  <c r="M9" i="27"/>
  <c r="T11" i="27" l="1"/>
  <c r="Q11" i="27"/>
  <c r="AO11" i="27"/>
  <c r="K11" i="27"/>
  <c r="C9" i="27"/>
  <c r="P11" i="27"/>
  <c r="G10" i="27"/>
  <c r="G11" i="27" s="1"/>
  <c r="U11" i="27"/>
  <c r="M22" i="27"/>
  <c r="D21" i="27"/>
  <c r="D22" i="27" s="1"/>
  <c r="M10" i="27"/>
  <c r="AN11" i="27"/>
  <c r="F22" i="27"/>
  <c r="F9" i="27"/>
  <c r="C10" i="27"/>
  <c r="AD11" i="27"/>
  <c r="W11" i="27"/>
  <c r="F10" i="27"/>
  <c r="F11" i="27" s="1"/>
  <c r="B20" i="27"/>
  <c r="B22" i="27" s="1"/>
  <c r="G21" i="27"/>
  <c r="G22" i="27" s="1"/>
  <c r="W22" i="27"/>
  <c r="AG22" i="27"/>
  <c r="Q9" i="27"/>
  <c r="H9" i="27" s="1"/>
  <c r="N10" i="27"/>
  <c r="AQ10" i="27"/>
  <c r="AQ11" i="27" s="1"/>
  <c r="C20" i="27"/>
  <c r="H21" i="27"/>
  <c r="H22" i="27" s="1"/>
  <c r="L11" i="27"/>
  <c r="P22" i="27"/>
  <c r="Y22" i="27"/>
  <c r="AK22" i="27"/>
  <c r="D24" i="27"/>
  <c r="D25" i="27" s="1"/>
  <c r="AK10" i="27"/>
  <c r="E20" i="27"/>
  <c r="M25" i="27"/>
  <c r="C21" i="27"/>
  <c r="C22" i="27" s="1"/>
  <c r="AM34" i="27"/>
  <c r="E21" i="27"/>
  <c r="N11" i="27" l="1"/>
  <c r="E10" i="27"/>
  <c r="E11" i="27" s="1"/>
  <c r="C11" i="27"/>
  <c r="E22" i="27"/>
  <c r="M11" i="27"/>
  <c r="D10" i="27"/>
  <c r="D11" i="27" s="1"/>
  <c r="AK11" i="27"/>
  <c r="B10" i="27"/>
  <c r="B11" i="27" s="1"/>
  <c r="H10" i="27"/>
  <c r="H11" i="27" s="1"/>
  <c r="AQ40" i="9" l="1"/>
  <c r="AP40" i="9"/>
  <c r="AO40" i="9"/>
  <c r="AL40" i="9"/>
  <c r="AK40" i="9"/>
  <c r="AH40" i="9"/>
  <c r="AG40" i="9"/>
  <c r="AF40" i="9"/>
  <c r="AE40" i="9"/>
  <c r="AC40" i="9"/>
  <c r="AB40" i="9"/>
  <c r="X40" i="9"/>
  <c r="W40" i="9"/>
  <c r="Q40" i="9"/>
  <c r="P40" i="9"/>
  <c r="O40" i="9"/>
  <c r="N40" i="9"/>
  <c r="L40" i="9"/>
  <c r="E40" i="9"/>
  <c r="AM39" i="9"/>
  <c r="AM40" i="9" s="1"/>
  <c r="AD39" i="9"/>
  <c r="AD40" i="9" s="1"/>
  <c r="U39" i="9"/>
  <c r="M39" i="9"/>
  <c r="M40" i="9" s="1"/>
  <c r="H39" i="9"/>
  <c r="G39" i="9"/>
  <c r="G40" i="9" s="1"/>
  <c r="F39" i="9"/>
  <c r="F40" i="9" s="1"/>
  <c r="E39" i="9"/>
  <c r="C39" i="9"/>
  <c r="C40" i="9" s="1"/>
  <c r="B39" i="9"/>
  <c r="AM38" i="9"/>
  <c r="AD38" i="9"/>
  <c r="Y38" i="9"/>
  <c r="H38" i="9" s="1"/>
  <c r="X38" i="9"/>
  <c r="W38" i="9"/>
  <c r="V38" i="9"/>
  <c r="V40" i="9" s="1"/>
  <c r="T38" i="9"/>
  <c r="T40" i="9" s="1"/>
  <c r="S38" i="9"/>
  <c r="S40" i="9" s="1"/>
  <c r="M38" i="9"/>
  <c r="K38" i="9"/>
  <c r="K40" i="9" s="1"/>
  <c r="G38" i="9"/>
  <c r="F38" i="9"/>
  <c r="E38" i="9"/>
  <c r="C38" i="9"/>
  <c r="AQ37" i="9"/>
  <c r="AP37" i="9"/>
  <c r="AO37" i="9"/>
  <c r="AL37" i="9"/>
  <c r="AK37" i="9"/>
  <c r="X37" i="9"/>
  <c r="W37" i="9"/>
  <c r="V37" i="9"/>
  <c r="N37" i="9"/>
  <c r="K37" i="9"/>
  <c r="E37" i="9"/>
  <c r="AM36" i="9"/>
  <c r="AM37" i="9" s="1"/>
  <c r="AD36" i="9"/>
  <c r="U36" i="9"/>
  <c r="M36" i="9"/>
  <c r="H36" i="9"/>
  <c r="H21" i="9" s="1"/>
  <c r="G36" i="9"/>
  <c r="G37" i="9" s="1"/>
  <c r="F36" i="9"/>
  <c r="E36" i="9"/>
  <c r="C36" i="9"/>
  <c r="B36" i="9"/>
  <c r="B37" i="9" s="1"/>
  <c r="AM35" i="9"/>
  <c r="AD35" i="9"/>
  <c r="Y35" i="9"/>
  <c r="H35" i="9" s="1"/>
  <c r="X35" i="9"/>
  <c r="U35" i="9" s="1"/>
  <c r="W35" i="9"/>
  <c r="T35" i="9"/>
  <c r="T37" i="9" s="1"/>
  <c r="S35" i="9"/>
  <c r="S37" i="9" s="1"/>
  <c r="Q35" i="9"/>
  <c r="Q37" i="9" s="1"/>
  <c r="P35" i="9"/>
  <c r="G35" i="9" s="1"/>
  <c r="O35" i="9"/>
  <c r="M35" i="9" s="1"/>
  <c r="L35" i="9"/>
  <c r="L37" i="9" s="1"/>
  <c r="E35" i="9"/>
  <c r="C35" i="9"/>
  <c r="C37" i="9" s="1"/>
  <c r="B35" i="9"/>
  <c r="H33" i="9"/>
  <c r="G33" i="9"/>
  <c r="F33" i="9"/>
  <c r="E33" i="9"/>
  <c r="D33" i="9"/>
  <c r="C33" i="9"/>
  <c r="B33" i="9"/>
  <c r="AM32" i="9"/>
  <c r="AD32" i="9"/>
  <c r="U32" i="9"/>
  <c r="M32" i="9"/>
  <c r="H32" i="9"/>
  <c r="G32" i="9"/>
  <c r="F32" i="9"/>
  <c r="E32" i="9"/>
  <c r="D32" i="9"/>
  <c r="C32" i="9"/>
  <c r="B32" i="9"/>
  <c r="AQ31" i="9"/>
  <c r="AO31" i="9"/>
  <c r="AL31" i="9"/>
  <c r="AK31" i="9"/>
  <c r="AH31" i="9"/>
  <c r="AG31" i="9"/>
  <c r="AF31" i="9"/>
  <c r="AE31" i="9"/>
  <c r="AC31" i="9"/>
  <c r="AB31" i="9"/>
  <c r="Y31" i="9"/>
  <c r="Q31" i="9"/>
  <c r="P31" i="9"/>
  <c r="G31" i="9"/>
  <c r="F31" i="9"/>
  <c r="AM30" i="9"/>
  <c r="AM31" i="9" s="1"/>
  <c r="AD30" i="9"/>
  <c r="AD31" i="9" s="1"/>
  <c r="U30" i="9"/>
  <c r="M30" i="9"/>
  <c r="M31" i="9" s="1"/>
  <c r="H30" i="9"/>
  <c r="H31" i="9" s="1"/>
  <c r="G30" i="9"/>
  <c r="F30" i="9"/>
  <c r="E30" i="9"/>
  <c r="C30" i="9"/>
  <c r="B30" i="9"/>
  <c r="AM29" i="9"/>
  <c r="AD29" i="9"/>
  <c r="Y29" i="9"/>
  <c r="X29" i="9"/>
  <c r="X31" i="9" s="1"/>
  <c r="W29" i="9"/>
  <c r="W31" i="9" s="1"/>
  <c r="V29" i="9"/>
  <c r="V31" i="9" s="1"/>
  <c r="T29" i="9"/>
  <c r="T20" i="9" s="1"/>
  <c r="T9" i="9" s="1"/>
  <c r="T11" i="9" s="1"/>
  <c r="S29" i="9"/>
  <c r="S20" i="9" s="1"/>
  <c r="Q29" i="9"/>
  <c r="M29" i="9" s="1"/>
  <c r="P29" i="9"/>
  <c r="O29" i="9"/>
  <c r="O31" i="9" s="1"/>
  <c r="N29" i="9"/>
  <c r="N31" i="9" s="1"/>
  <c r="L29" i="9"/>
  <c r="L31" i="9" s="1"/>
  <c r="K29" i="9"/>
  <c r="K20" i="9" s="1"/>
  <c r="K9" i="9" s="1"/>
  <c r="K11" i="9" s="1"/>
  <c r="H29" i="9"/>
  <c r="G29" i="9"/>
  <c r="F29" i="9"/>
  <c r="AQ28" i="9"/>
  <c r="AM28" i="9"/>
  <c r="AL28" i="9"/>
  <c r="AK28" i="9"/>
  <c r="AH28" i="9"/>
  <c r="AG28" i="9"/>
  <c r="AF28" i="9"/>
  <c r="AE28" i="9"/>
  <c r="AC28" i="9"/>
  <c r="AB28" i="9"/>
  <c r="T28" i="9"/>
  <c r="S28" i="9"/>
  <c r="K28" i="9"/>
  <c r="AM27" i="9"/>
  <c r="D27" i="9" s="1"/>
  <c r="D28" i="9" s="1"/>
  <c r="AD27" i="9"/>
  <c r="AD28" i="9" s="1"/>
  <c r="U27" i="9"/>
  <c r="U28" i="9" s="1"/>
  <c r="M27" i="9"/>
  <c r="M28" i="9" s="1"/>
  <c r="H27" i="9"/>
  <c r="G27" i="9"/>
  <c r="G28" i="9" s="1"/>
  <c r="F27" i="9"/>
  <c r="F28" i="9" s="1"/>
  <c r="E27" i="9"/>
  <c r="C27" i="9"/>
  <c r="C21" i="9" s="1"/>
  <c r="B27" i="9"/>
  <c r="B28" i="9" s="1"/>
  <c r="AM26" i="9"/>
  <c r="AD26" i="9"/>
  <c r="Y26" i="9"/>
  <c r="Y28" i="9" s="1"/>
  <c r="X26" i="9"/>
  <c r="X28" i="9" s="1"/>
  <c r="W26" i="9"/>
  <c r="W28" i="9" s="1"/>
  <c r="V26" i="9"/>
  <c r="V20" i="9" s="1"/>
  <c r="U26" i="9"/>
  <c r="T26" i="9"/>
  <c r="S26" i="9"/>
  <c r="Q26" i="9"/>
  <c r="Q28" i="9" s="1"/>
  <c r="P26" i="9"/>
  <c r="P28" i="9" s="1"/>
  <c r="O26" i="9"/>
  <c r="O28" i="9" s="1"/>
  <c r="N26" i="9"/>
  <c r="N28" i="9" s="1"/>
  <c r="M26" i="9"/>
  <c r="D26" i="9" s="1"/>
  <c r="L26" i="9"/>
  <c r="L20" i="9" s="1"/>
  <c r="L9" i="9" s="1"/>
  <c r="K26" i="9"/>
  <c r="G26" i="9"/>
  <c r="F26" i="9"/>
  <c r="B26" i="9"/>
  <c r="AQ25" i="9"/>
  <c r="AO25" i="9"/>
  <c r="AL25" i="9"/>
  <c r="AK25" i="9"/>
  <c r="AH25" i="9"/>
  <c r="AG25" i="9"/>
  <c r="AF25" i="9"/>
  <c r="AE25" i="9"/>
  <c r="AC25" i="9"/>
  <c r="AB25" i="9"/>
  <c r="W25" i="9"/>
  <c r="V25" i="9"/>
  <c r="N25" i="9"/>
  <c r="C25" i="9"/>
  <c r="AM24" i="9"/>
  <c r="AM25" i="9" s="1"/>
  <c r="AD24" i="9"/>
  <c r="AD25" i="9" s="1"/>
  <c r="U24" i="9"/>
  <c r="U25" i="9" s="1"/>
  <c r="M24" i="9"/>
  <c r="H24" i="9"/>
  <c r="G24" i="9"/>
  <c r="G21" i="9" s="1"/>
  <c r="F24" i="9"/>
  <c r="F21" i="9" s="1"/>
  <c r="E24" i="9"/>
  <c r="E25" i="9" s="1"/>
  <c r="D24" i="9"/>
  <c r="C24" i="9"/>
  <c r="B24" i="9"/>
  <c r="B25" i="9" s="1"/>
  <c r="AM23" i="9"/>
  <c r="AD23" i="9"/>
  <c r="Y23" i="9"/>
  <c r="Y25" i="9" s="1"/>
  <c r="X23" i="9"/>
  <c r="X25" i="9" s="1"/>
  <c r="W23" i="9"/>
  <c r="V23" i="9"/>
  <c r="U23" i="9" s="1"/>
  <c r="T23" i="9"/>
  <c r="T25" i="9" s="1"/>
  <c r="S23" i="9"/>
  <c r="S25" i="9" s="1"/>
  <c r="Q23" i="9"/>
  <c r="Q25" i="9" s="1"/>
  <c r="P23" i="9"/>
  <c r="P25" i="9" s="1"/>
  <c r="O23" i="9"/>
  <c r="M23" i="9" s="1"/>
  <c r="N23" i="9"/>
  <c r="L23" i="9"/>
  <c r="L25" i="9" s="1"/>
  <c r="K23" i="9"/>
  <c r="K25" i="9" s="1"/>
  <c r="E23" i="9"/>
  <c r="C23" i="9"/>
  <c r="B23" i="9"/>
  <c r="AL22" i="9"/>
  <c r="AC22" i="9"/>
  <c r="AB22" i="9"/>
  <c r="Q22" i="9"/>
  <c r="AQ21" i="9"/>
  <c r="AQ22" i="9" s="1"/>
  <c r="AP21" i="9"/>
  <c r="AP10" i="9" s="1"/>
  <c r="AP11" i="9" s="1"/>
  <c r="AO21" i="9"/>
  <c r="AO10" i="9" s="1"/>
  <c r="AO11" i="9" s="1"/>
  <c r="AN21" i="9"/>
  <c r="AM21" i="9" s="1"/>
  <c r="AM22" i="9" s="1"/>
  <c r="AL21" i="9"/>
  <c r="AK21" i="9"/>
  <c r="AK22" i="9" s="1"/>
  <c r="AH21" i="9"/>
  <c r="AH22" i="9" s="1"/>
  <c r="AG21" i="9"/>
  <c r="AG22" i="9" s="1"/>
  <c r="AF21" i="9"/>
  <c r="AF10" i="9" s="1"/>
  <c r="AF11" i="9" s="1"/>
  <c r="AE21" i="9"/>
  <c r="AD21" i="9" s="1"/>
  <c r="AD22" i="9" s="1"/>
  <c r="AC21" i="9"/>
  <c r="AB21" i="9"/>
  <c r="Y21" i="9"/>
  <c r="X21" i="9"/>
  <c r="X22" i="9" s="1"/>
  <c r="W21" i="9"/>
  <c r="W22" i="9" s="1"/>
  <c r="V21" i="9"/>
  <c r="V10" i="9" s="1"/>
  <c r="U21" i="9"/>
  <c r="T21" i="9"/>
  <c r="S21" i="9"/>
  <c r="Q21" i="9"/>
  <c r="P21" i="9"/>
  <c r="P22" i="9" s="1"/>
  <c r="O21" i="9"/>
  <c r="O22" i="9" s="1"/>
  <c r="N21" i="9"/>
  <c r="N22" i="9" s="1"/>
  <c r="M21" i="9"/>
  <c r="L21" i="9"/>
  <c r="L10" i="9" s="1"/>
  <c r="K21" i="9"/>
  <c r="E21" i="9"/>
  <c r="B21" i="9"/>
  <c r="B10" i="9" s="1"/>
  <c r="AQ20" i="9"/>
  <c r="AP20" i="9"/>
  <c r="AO20" i="9"/>
  <c r="AN20" i="9"/>
  <c r="AM20" i="9"/>
  <c r="AL20" i="9"/>
  <c r="AK20" i="9"/>
  <c r="AK9" i="9" s="1"/>
  <c r="AH20" i="9"/>
  <c r="AH9" i="9" s="1"/>
  <c r="AD9" i="9" s="1"/>
  <c r="AG20" i="9"/>
  <c r="AF20" i="9"/>
  <c r="AE20" i="9"/>
  <c r="AD20" i="9" s="1"/>
  <c r="AC20" i="9"/>
  <c r="AB20" i="9"/>
  <c r="X20" i="9"/>
  <c r="X9" i="9" s="1"/>
  <c r="W20" i="9"/>
  <c r="Q20" i="9"/>
  <c r="P20" i="9"/>
  <c r="O20" i="9"/>
  <c r="O9" i="9" s="1"/>
  <c r="N20" i="9"/>
  <c r="M20" i="9" s="1"/>
  <c r="M17" i="9"/>
  <c r="H17" i="9"/>
  <c r="G17" i="9"/>
  <c r="F17" i="9"/>
  <c r="E17" i="9"/>
  <c r="D17" i="9"/>
  <c r="C17" i="9"/>
  <c r="B17" i="9"/>
  <c r="AM16" i="9"/>
  <c r="AD16" i="9"/>
  <c r="U16" i="9"/>
  <c r="M16" i="9"/>
  <c r="D16" i="9" s="1"/>
  <c r="H16" i="9"/>
  <c r="G16" i="9"/>
  <c r="F16" i="9"/>
  <c r="E16" i="9"/>
  <c r="C16" i="9"/>
  <c r="B16" i="9"/>
  <c r="AQ15" i="9"/>
  <c r="AP15" i="9"/>
  <c r="AO15" i="9"/>
  <c r="AN15" i="9"/>
  <c r="AL15" i="9"/>
  <c r="AK15" i="9"/>
  <c r="AH15" i="9"/>
  <c r="AG15" i="9"/>
  <c r="AF15" i="9"/>
  <c r="AE15" i="9"/>
  <c r="AC15" i="9"/>
  <c r="AB15" i="9"/>
  <c r="O15" i="9"/>
  <c r="N15" i="9"/>
  <c r="E15" i="9"/>
  <c r="AM14" i="9"/>
  <c r="AM15" i="9" s="1"/>
  <c r="AD14" i="9"/>
  <c r="AD15" i="9" s="1"/>
  <c r="U14" i="9"/>
  <c r="M14" i="9"/>
  <c r="H14" i="9"/>
  <c r="G14" i="9"/>
  <c r="F14" i="9"/>
  <c r="F15" i="9" s="1"/>
  <c r="E14" i="9"/>
  <c r="C14" i="9"/>
  <c r="B14" i="9"/>
  <c r="B15" i="9" s="1"/>
  <c r="AM13" i="9"/>
  <c r="AD13" i="9"/>
  <c r="Y13" i="9"/>
  <c r="X13" i="9"/>
  <c r="U13" i="9" s="1"/>
  <c r="W13" i="9"/>
  <c r="V13" i="9"/>
  <c r="T13" i="9"/>
  <c r="S13" i="9"/>
  <c r="Q13" i="9"/>
  <c r="Q15" i="9" s="1"/>
  <c r="P13" i="9"/>
  <c r="P9" i="9" s="1"/>
  <c r="O13" i="9"/>
  <c r="N13" i="9"/>
  <c r="M13" i="9" s="1"/>
  <c r="D13" i="9" s="1"/>
  <c r="L13" i="9"/>
  <c r="L15" i="9" s="1"/>
  <c r="K13" i="9"/>
  <c r="K15" i="9" s="1"/>
  <c r="F13" i="9"/>
  <c r="E13" i="9"/>
  <c r="B13" i="9"/>
  <c r="AN11" i="9"/>
  <c r="AQ10" i="9"/>
  <c r="AQ11" i="9" s="1"/>
  <c r="AN10" i="9"/>
  <c r="AM10" i="9" s="1"/>
  <c r="AM11" i="9" s="1"/>
  <c r="AL10" i="9"/>
  <c r="AL11" i="9" s="1"/>
  <c r="AK10" i="9"/>
  <c r="AH10" i="9"/>
  <c r="AG10" i="9"/>
  <c r="AG11" i="9" s="1"/>
  <c r="AC10" i="9"/>
  <c r="AC11" i="9" s="1"/>
  <c r="AB10" i="9"/>
  <c r="AB11" i="9" s="1"/>
  <c r="Y10" i="9"/>
  <c r="X10" i="9"/>
  <c r="X11" i="9" s="1"/>
  <c r="W10" i="9"/>
  <c r="W11" i="9" s="1"/>
  <c r="T10" i="9"/>
  <c r="S10" i="9"/>
  <c r="Q10" i="9"/>
  <c r="Q11" i="9" s="1"/>
  <c r="P10" i="9"/>
  <c r="P11" i="9" s="1"/>
  <c r="O10" i="9"/>
  <c r="N10" i="9"/>
  <c r="M10" i="9" s="1"/>
  <c r="K10" i="9"/>
  <c r="E10" i="9"/>
  <c r="AQ9" i="9"/>
  <c r="AP9" i="9"/>
  <c r="AO9" i="9"/>
  <c r="AN9" i="9"/>
  <c r="AM9" i="9"/>
  <c r="AL9" i="9"/>
  <c r="AG9" i="9"/>
  <c r="AF9" i="9"/>
  <c r="AE9" i="9"/>
  <c r="AC9" i="9"/>
  <c r="AB9" i="9"/>
  <c r="W9" i="9"/>
  <c r="Q9" i="9"/>
  <c r="N9" i="9"/>
  <c r="O11" i="9" l="1"/>
  <c r="M15" i="9"/>
  <c r="U40" i="9"/>
  <c r="G15" i="9"/>
  <c r="M9" i="9"/>
  <c r="V9" i="9"/>
  <c r="D23" i="9"/>
  <c r="D25" i="9" s="1"/>
  <c r="M25" i="9"/>
  <c r="C10" i="9"/>
  <c r="H40" i="9"/>
  <c r="AH11" i="9"/>
  <c r="L11" i="9"/>
  <c r="T22" i="9"/>
  <c r="AK11" i="9"/>
  <c r="M22" i="9"/>
  <c r="U10" i="9"/>
  <c r="M37" i="9"/>
  <c r="D35" i="9"/>
  <c r="M11" i="9"/>
  <c r="H15" i="9"/>
  <c r="K22" i="9"/>
  <c r="F10" i="9"/>
  <c r="S22" i="9"/>
  <c r="S9" i="9"/>
  <c r="S11" i="9" s="1"/>
  <c r="U37" i="9"/>
  <c r="F23" i="9"/>
  <c r="C26" i="9"/>
  <c r="B38" i="9"/>
  <c r="B40" i="9" s="1"/>
  <c r="H13" i="9"/>
  <c r="P15" i="9"/>
  <c r="D21" i="9"/>
  <c r="AO22" i="9"/>
  <c r="G23" i="9"/>
  <c r="G20" i="9" s="1"/>
  <c r="G22" i="9" s="1"/>
  <c r="O25" i="9"/>
  <c r="L28" i="9"/>
  <c r="B29" i="9"/>
  <c r="B31" i="9" s="1"/>
  <c r="U29" i="9"/>
  <c r="D29" i="9" s="1"/>
  <c r="S31" i="9"/>
  <c r="P37" i="9"/>
  <c r="Y37" i="9"/>
  <c r="Y40" i="9"/>
  <c r="O37" i="9"/>
  <c r="G10" i="9"/>
  <c r="N11" i="9"/>
  <c r="L22" i="9"/>
  <c r="AE22" i="9"/>
  <c r="AP22" i="9"/>
  <c r="H23" i="9"/>
  <c r="F25" i="9"/>
  <c r="E26" i="9"/>
  <c r="C28" i="9"/>
  <c r="V28" i="9"/>
  <c r="C29" i="9"/>
  <c r="C31" i="9" s="1"/>
  <c r="D30" i="9"/>
  <c r="K31" i="9"/>
  <c r="T31" i="9"/>
  <c r="F35" i="9"/>
  <c r="F37" i="9" s="1"/>
  <c r="G13" i="9"/>
  <c r="G9" i="9" s="1"/>
  <c r="Y20" i="9"/>
  <c r="Y9" i="9" s="1"/>
  <c r="Y11" i="9" s="1"/>
  <c r="H10" i="9"/>
  <c r="V22" i="9"/>
  <c r="AF22" i="9"/>
  <c r="G25" i="9"/>
  <c r="H37" i="9"/>
  <c r="U38" i="9"/>
  <c r="D38" i="9" s="1"/>
  <c r="C13" i="9"/>
  <c r="D14" i="9"/>
  <c r="D15" i="9" s="1"/>
  <c r="E29" i="9"/>
  <c r="E31" i="9" s="1"/>
  <c r="D36" i="9"/>
  <c r="D37" i="9" s="1"/>
  <c r="D39" i="9"/>
  <c r="AE10" i="9"/>
  <c r="H26" i="9"/>
  <c r="H28" i="9" s="1"/>
  <c r="AQ40" i="19"/>
  <c r="AP40" i="19"/>
  <c r="AO40" i="19"/>
  <c r="AN40" i="19"/>
  <c r="AL40" i="19"/>
  <c r="AK40" i="19"/>
  <c r="AH40" i="19"/>
  <c r="AF40" i="19"/>
  <c r="AB40" i="19"/>
  <c r="Y40" i="19"/>
  <c r="X40" i="19"/>
  <c r="Q40" i="19"/>
  <c r="P40" i="19"/>
  <c r="O40" i="19"/>
  <c r="AH39" i="19"/>
  <c r="AG39" i="19"/>
  <c r="AG40" i="19" s="1"/>
  <c r="AF39" i="19"/>
  <c r="AE39" i="19"/>
  <c r="AE40" i="19" s="1"/>
  <c r="AD39" i="19"/>
  <c r="AD40" i="19" s="1"/>
  <c r="AC39" i="19"/>
  <c r="AC40" i="19" s="1"/>
  <c r="AB39" i="19"/>
  <c r="Y39" i="19"/>
  <c r="X39" i="19"/>
  <c r="G39" i="19" s="1"/>
  <c r="G40" i="19" s="1"/>
  <c r="W39" i="19"/>
  <c r="W40" i="19" s="1"/>
  <c r="V39" i="19"/>
  <c r="V40" i="19" s="1"/>
  <c r="U39" i="19"/>
  <c r="U40" i="19" s="1"/>
  <c r="T39" i="19"/>
  <c r="T40" i="19" s="1"/>
  <c r="S39" i="19"/>
  <c r="S40" i="19" s="1"/>
  <c r="Q39" i="19"/>
  <c r="H39" i="19" s="1"/>
  <c r="H40" i="19" s="1"/>
  <c r="P39" i="19"/>
  <c r="O39" i="19"/>
  <c r="F39" i="19" s="1"/>
  <c r="F40" i="19" s="1"/>
  <c r="N39" i="19"/>
  <c r="N40" i="19" s="1"/>
  <c r="M39" i="19"/>
  <c r="M40" i="19" s="1"/>
  <c r="L39" i="19"/>
  <c r="K39" i="19"/>
  <c r="K40" i="19" s="1"/>
  <c r="B39" i="19"/>
  <c r="B40" i="19" s="1"/>
  <c r="AM38" i="19"/>
  <c r="AM40" i="19" s="1"/>
  <c r="AF38" i="19"/>
  <c r="AD38" i="19"/>
  <c r="U38" i="19"/>
  <c r="M38" i="19"/>
  <c r="H38" i="19"/>
  <c r="G38" i="19"/>
  <c r="F38" i="19"/>
  <c r="E38" i="19"/>
  <c r="D38" i="19" s="1"/>
  <c r="C38" i="19"/>
  <c r="B38" i="19"/>
  <c r="AQ37" i="19"/>
  <c r="AP37" i="19"/>
  <c r="AO37" i="19"/>
  <c r="AN37" i="19"/>
  <c r="AM37" i="19"/>
  <c r="AL37" i="19"/>
  <c r="AK37" i="19"/>
  <c r="AH37" i="19"/>
  <c r="AG37" i="19"/>
  <c r="AF37" i="19"/>
  <c r="AE37" i="19"/>
  <c r="AD37" i="19"/>
  <c r="AC37" i="19"/>
  <c r="AB37" i="19"/>
  <c r="W37" i="19"/>
  <c r="T37" i="19"/>
  <c r="S37" i="19"/>
  <c r="N37" i="19"/>
  <c r="L37" i="19"/>
  <c r="K37" i="19"/>
  <c r="Y36" i="19"/>
  <c r="Y37" i="19" s="1"/>
  <c r="X36" i="19"/>
  <c r="X37" i="19" s="1"/>
  <c r="W36" i="19"/>
  <c r="V36" i="19"/>
  <c r="V37" i="19" s="1"/>
  <c r="U36" i="19"/>
  <c r="T36" i="19"/>
  <c r="C36" i="19" s="1"/>
  <c r="C37" i="19" s="1"/>
  <c r="S36" i="19"/>
  <c r="Q36" i="19"/>
  <c r="Q37" i="19" s="1"/>
  <c r="P36" i="19"/>
  <c r="O36" i="19"/>
  <c r="O37" i="19" s="1"/>
  <c r="N36" i="19"/>
  <c r="M36" i="19"/>
  <c r="L36" i="19"/>
  <c r="K36" i="19"/>
  <c r="B36" i="19" s="1"/>
  <c r="B37" i="19" s="1"/>
  <c r="E36" i="19"/>
  <c r="AM35" i="19"/>
  <c r="AD35" i="19"/>
  <c r="U35" i="19"/>
  <c r="U37" i="19" s="1"/>
  <c r="M35" i="19"/>
  <c r="H35" i="19"/>
  <c r="D35" i="19" s="1"/>
  <c r="G35" i="19"/>
  <c r="F35" i="19"/>
  <c r="E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X34" i="19"/>
  <c r="W34" i="19"/>
  <c r="V34" i="19"/>
  <c r="Q34" i="19"/>
  <c r="O34" i="19"/>
  <c r="N34" i="19"/>
  <c r="M34" i="19"/>
  <c r="Y33" i="19"/>
  <c r="Y34" i="19" s="1"/>
  <c r="X33" i="19"/>
  <c r="W33" i="19"/>
  <c r="F33" i="19" s="1"/>
  <c r="F34" i="19" s="1"/>
  <c r="V33" i="19"/>
  <c r="U33" i="19"/>
  <c r="U34" i="19" s="1"/>
  <c r="T33" i="19"/>
  <c r="T34" i="19" s="1"/>
  <c r="S33" i="19"/>
  <c r="S34" i="19" s="1"/>
  <c r="Q33" i="19"/>
  <c r="P33" i="19"/>
  <c r="G33" i="19" s="1"/>
  <c r="G34" i="19" s="1"/>
  <c r="O33" i="19"/>
  <c r="N33" i="19"/>
  <c r="E33" i="19" s="1"/>
  <c r="D33" i="19" s="1"/>
  <c r="D34" i="19" s="1"/>
  <c r="M33" i="19"/>
  <c r="L33" i="19"/>
  <c r="K33" i="19"/>
  <c r="K34" i="19" s="1"/>
  <c r="H33" i="19"/>
  <c r="H34" i="19" s="1"/>
  <c r="B33" i="19"/>
  <c r="AM32" i="19"/>
  <c r="AM34" i="19" s="1"/>
  <c r="AD32" i="19"/>
  <c r="AD34" i="19" s="1"/>
  <c r="U32" i="19"/>
  <c r="H32" i="19"/>
  <c r="G32" i="19"/>
  <c r="F32" i="19"/>
  <c r="E32" i="19"/>
  <c r="D32" i="19"/>
  <c r="C32" i="19"/>
  <c r="B32" i="19"/>
  <c r="B20" i="19" s="1"/>
  <c r="AQ31" i="19"/>
  <c r="AP31" i="19"/>
  <c r="AO31" i="19"/>
  <c r="AN31" i="19"/>
  <c r="AL31" i="19"/>
  <c r="AK31" i="19"/>
  <c r="AH31" i="19"/>
  <c r="AB31" i="19"/>
  <c r="Y31" i="19"/>
  <c r="X31" i="19"/>
  <c r="P31" i="19"/>
  <c r="O31" i="19"/>
  <c r="AH30" i="19"/>
  <c r="AG30" i="19"/>
  <c r="AG31" i="19" s="1"/>
  <c r="AF30" i="19"/>
  <c r="AF31" i="19" s="1"/>
  <c r="AE30" i="19"/>
  <c r="AE31" i="19" s="1"/>
  <c r="AD30" i="19"/>
  <c r="AD31" i="19" s="1"/>
  <c r="AC30" i="19"/>
  <c r="AC31" i="19" s="1"/>
  <c r="AB30" i="19"/>
  <c r="Y30" i="19"/>
  <c r="X30" i="19"/>
  <c r="G30" i="19" s="1"/>
  <c r="G31" i="19" s="1"/>
  <c r="W30" i="19"/>
  <c r="W31" i="19" s="1"/>
  <c r="V30" i="19"/>
  <c r="U30" i="19"/>
  <c r="T30" i="19"/>
  <c r="T31" i="19" s="1"/>
  <c r="S30" i="19"/>
  <c r="S31" i="19" s="1"/>
  <c r="Q30" i="19"/>
  <c r="H30" i="19" s="1"/>
  <c r="P30" i="19"/>
  <c r="O30" i="19"/>
  <c r="F30" i="19" s="1"/>
  <c r="F31" i="19" s="1"/>
  <c r="N30" i="19"/>
  <c r="N31" i="19" s="1"/>
  <c r="M30" i="19"/>
  <c r="L30" i="19"/>
  <c r="L31" i="19" s="1"/>
  <c r="K30" i="19"/>
  <c r="K31" i="19" s="1"/>
  <c r="C30" i="19"/>
  <c r="C31" i="19" s="1"/>
  <c r="B30" i="19"/>
  <c r="B31" i="19" s="1"/>
  <c r="AM29" i="19"/>
  <c r="AM31" i="19" s="1"/>
  <c r="AD29" i="19"/>
  <c r="Y29" i="19"/>
  <c r="X29" i="19"/>
  <c r="W29" i="19"/>
  <c r="F29" i="19" s="1"/>
  <c r="V29" i="19"/>
  <c r="U29" i="19"/>
  <c r="Q29" i="19"/>
  <c r="M29" i="19"/>
  <c r="G29" i="19"/>
  <c r="E29" i="19"/>
  <c r="C29" i="19"/>
  <c r="B29" i="19"/>
  <c r="AQ28" i="19"/>
  <c r="AP28" i="19"/>
  <c r="AO28" i="19"/>
  <c r="AN28" i="19"/>
  <c r="AL28" i="19"/>
  <c r="AK28" i="19"/>
  <c r="AH28" i="19"/>
  <c r="Y28" i="19"/>
  <c r="X28" i="19"/>
  <c r="W28" i="19"/>
  <c r="S28" i="19"/>
  <c r="P28" i="19"/>
  <c r="O28" i="19"/>
  <c r="F28" i="19"/>
  <c r="AH27" i="19"/>
  <c r="AG27" i="19"/>
  <c r="AG28" i="19" s="1"/>
  <c r="AF27" i="19"/>
  <c r="AF28" i="19" s="1"/>
  <c r="AE27" i="19"/>
  <c r="AE28" i="19" s="1"/>
  <c r="AD27" i="19"/>
  <c r="AD28" i="19" s="1"/>
  <c r="AC27" i="19"/>
  <c r="AC28" i="19" s="1"/>
  <c r="AB27" i="19"/>
  <c r="AB28" i="19" s="1"/>
  <c r="Y27" i="19"/>
  <c r="X27" i="19"/>
  <c r="W27" i="19"/>
  <c r="F27" i="19" s="1"/>
  <c r="V27" i="19"/>
  <c r="V28" i="19" s="1"/>
  <c r="U27" i="19"/>
  <c r="U28" i="19" s="1"/>
  <c r="T27" i="19"/>
  <c r="T28" i="19" s="1"/>
  <c r="S27" i="19"/>
  <c r="Q27" i="19"/>
  <c r="Q28" i="19" s="1"/>
  <c r="P27" i="19"/>
  <c r="G27" i="19" s="1"/>
  <c r="G28" i="19" s="1"/>
  <c r="O27" i="19"/>
  <c r="N27" i="19"/>
  <c r="E27" i="19" s="1"/>
  <c r="M27" i="19"/>
  <c r="M28" i="19" s="1"/>
  <c r="L27" i="19"/>
  <c r="K27" i="19"/>
  <c r="K28" i="19" s="1"/>
  <c r="H27" i="19"/>
  <c r="H28" i="19" s="1"/>
  <c r="B27" i="19"/>
  <c r="B28" i="19" s="1"/>
  <c r="AM26" i="19"/>
  <c r="AM28" i="19" s="1"/>
  <c r="AD26" i="19"/>
  <c r="U26" i="19"/>
  <c r="M26" i="19"/>
  <c r="H26" i="19"/>
  <c r="G26" i="19"/>
  <c r="F26" i="19"/>
  <c r="E26" i="19"/>
  <c r="E28" i="19" s="1"/>
  <c r="D26" i="19"/>
  <c r="C26" i="19"/>
  <c r="B26" i="19"/>
  <c r="AQ25" i="19"/>
  <c r="AP25" i="19"/>
  <c r="AO25" i="19"/>
  <c r="AN25" i="19"/>
  <c r="AM25" i="19"/>
  <c r="AL25" i="19"/>
  <c r="AK25" i="19"/>
  <c r="AE25" i="19"/>
  <c r="AB25" i="19"/>
  <c r="S25" i="19"/>
  <c r="Q25" i="19"/>
  <c r="L25" i="19"/>
  <c r="AH24" i="19"/>
  <c r="AH25" i="19" s="1"/>
  <c r="AG24" i="19"/>
  <c r="AF24" i="19"/>
  <c r="AF25" i="19" s="1"/>
  <c r="AE24" i="19"/>
  <c r="AD24" i="19"/>
  <c r="AD25" i="19" s="1"/>
  <c r="AC24" i="19"/>
  <c r="AC21" i="19" s="1"/>
  <c r="AC22" i="19" s="1"/>
  <c r="AB24" i="19"/>
  <c r="Y24" i="19"/>
  <c r="Y21" i="19" s="1"/>
  <c r="Y10" i="19" s="1"/>
  <c r="Y11" i="19" s="1"/>
  <c r="X24" i="19"/>
  <c r="X25" i="19" s="1"/>
  <c r="W24" i="19"/>
  <c r="V24" i="19"/>
  <c r="U24" i="19"/>
  <c r="T24" i="19"/>
  <c r="T25" i="19" s="1"/>
  <c r="S24" i="19"/>
  <c r="S21" i="19" s="1"/>
  <c r="Q24" i="19"/>
  <c r="P24" i="19"/>
  <c r="O24" i="19"/>
  <c r="O25" i="19" s="1"/>
  <c r="N24" i="19"/>
  <c r="M24" i="19"/>
  <c r="M25" i="19" s="1"/>
  <c r="L24" i="19"/>
  <c r="K24" i="19"/>
  <c r="K25" i="19" s="1"/>
  <c r="F24" i="19"/>
  <c r="C24" i="19"/>
  <c r="C25" i="19" s="1"/>
  <c r="AM23" i="19"/>
  <c r="AD23" i="19"/>
  <c r="Y23" i="19"/>
  <c r="X23" i="19"/>
  <c r="W23" i="19"/>
  <c r="V23" i="19"/>
  <c r="V20" i="19" s="1"/>
  <c r="V9" i="19" s="1"/>
  <c r="U23" i="19"/>
  <c r="U25" i="19" s="1"/>
  <c r="T23" i="19"/>
  <c r="T20" i="19" s="1"/>
  <c r="S23" i="19"/>
  <c r="M23" i="19"/>
  <c r="H23" i="19"/>
  <c r="G23" i="19"/>
  <c r="G20" i="19" s="1"/>
  <c r="G9" i="19" s="1"/>
  <c r="F23" i="19"/>
  <c r="E23" i="19"/>
  <c r="E20" i="19" s="1"/>
  <c r="E9" i="19" s="1"/>
  <c r="D23" i="19"/>
  <c r="C23" i="19"/>
  <c r="B23" i="19"/>
  <c r="S22" i="19"/>
  <c r="AQ21" i="19"/>
  <c r="AP21" i="19"/>
  <c r="AP22" i="19" s="1"/>
  <c r="AO21" i="19"/>
  <c r="AN21" i="19"/>
  <c r="AN22" i="19" s="1"/>
  <c r="AM21" i="19"/>
  <c r="AL21" i="19"/>
  <c r="AL22" i="19" s="1"/>
  <c r="AK21" i="19"/>
  <c r="AH21" i="19"/>
  <c r="AH22" i="19" s="1"/>
  <c r="AE21" i="19"/>
  <c r="AE22" i="19" s="1"/>
  <c r="AB21" i="19"/>
  <c r="AB22" i="19" s="1"/>
  <c r="V21" i="19"/>
  <c r="U21" i="19"/>
  <c r="T21" i="19"/>
  <c r="T22" i="19" s="1"/>
  <c r="Q21" i="19"/>
  <c r="L21" i="19"/>
  <c r="L22" i="19" s="1"/>
  <c r="K21" i="19"/>
  <c r="K22" i="19" s="1"/>
  <c r="AQ20" i="19"/>
  <c r="AQ22" i="19" s="1"/>
  <c r="AP20" i="19"/>
  <c r="AO20" i="19"/>
  <c r="AO9" i="19" s="1"/>
  <c r="AN20" i="19"/>
  <c r="AL20" i="19"/>
  <c r="AK20" i="19"/>
  <c r="AK9" i="19" s="1"/>
  <c r="AH20" i="19"/>
  <c r="AG20" i="19"/>
  <c r="AF20" i="19"/>
  <c r="AE20" i="19"/>
  <c r="AE9" i="19" s="1"/>
  <c r="AC20" i="19"/>
  <c r="AC9" i="19" s="1"/>
  <c r="AB20" i="19"/>
  <c r="Y20" i="19"/>
  <c r="Y9" i="19" s="1"/>
  <c r="X20" i="19"/>
  <c r="X9" i="19" s="1"/>
  <c r="W20" i="19"/>
  <c r="S20" i="19"/>
  <c r="S9" i="19" s="1"/>
  <c r="P20" i="19"/>
  <c r="P9" i="19" s="1"/>
  <c r="O20" i="19"/>
  <c r="N20" i="19"/>
  <c r="N9" i="19" s="1"/>
  <c r="L20" i="19"/>
  <c r="L9" i="19" s="1"/>
  <c r="K20" i="19"/>
  <c r="F20" i="19"/>
  <c r="H18" i="19"/>
  <c r="G18" i="19"/>
  <c r="D18" i="19" s="1"/>
  <c r="F18" i="19"/>
  <c r="E18" i="19"/>
  <c r="C18" i="19"/>
  <c r="B18" i="19"/>
  <c r="AQ17" i="19"/>
  <c r="AP17" i="19"/>
  <c r="AO17" i="19"/>
  <c r="AN17" i="19"/>
  <c r="AM17" i="19"/>
  <c r="AL17" i="19"/>
  <c r="AK17" i="19"/>
  <c r="AH17" i="19"/>
  <c r="AG17" i="19"/>
  <c r="AF17" i="19"/>
  <c r="AE17" i="19"/>
  <c r="AD17" i="19"/>
  <c r="AC17" i="19"/>
  <c r="AB17" i="19"/>
  <c r="Y17" i="19"/>
  <c r="X17" i="19"/>
  <c r="W17" i="19"/>
  <c r="F17" i="19" s="1"/>
  <c r="V17" i="19"/>
  <c r="U17" i="19"/>
  <c r="T17" i="19"/>
  <c r="S17" i="19"/>
  <c r="Q17" i="19"/>
  <c r="H17" i="19" s="1"/>
  <c r="P17" i="19"/>
  <c r="O17" i="19"/>
  <c r="N17" i="19"/>
  <c r="E17" i="19" s="1"/>
  <c r="M17" i="19"/>
  <c r="L17" i="19"/>
  <c r="C17" i="19" s="1"/>
  <c r="K17" i="19"/>
  <c r="G17" i="19"/>
  <c r="B17" i="19"/>
  <c r="AQ16" i="19"/>
  <c r="AP16" i="19"/>
  <c r="AO16" i="19"/>
  <c r="AN16" i="19"/>
  <c r="AM16" i="19"/>
  <c r="AL16" i="19"/>
  <c r="AK16" i="19"/>
  <c r="AH16" i="19"/>
  <c r="AG16" i="19"/>
  <c r="AF16" i="19"/>
  <c r="AE16" i="19"/>
  <c r="AD16" i="19"/>
  <c r="AC16" i="19"/>
  <c r="AB16" i="19"/>
  <c r="Y16" i="19"/>
  <c r="X16" i="19"/>
  <c r="G16" i="19" s="1"/>
  <c r="W16" i="19"/>
  <c r="V16" i="19"/>
  <c r="E16" i="19" s="1"/>
  <c r="U16" i="19"/>
  <c r="T16" i="19"/>
  <c r="S16" i="19"/>
  <c r="Q16" i="19"/>
  <c r="H16" i="19" s="1"/>
  <c r="P16" i="19"/>
  <c r="O16" i="19"/>
  <c r="N16" i="19"/>
  <c r="M16" i="19"/>
  <c r="L16" i="19"/>
  <c r="C16" i="19" s="1"/>
  <c r="K16" i="19"/>
  <c r="B16" i="19"/>
  <c r="AQ15" i="19"/>
  <c r="AO15" i="19"/>
  <c r="AM15" i="19"/>
  <c r="AK15" i="19"/>
  <c r="AH15" i="19"/>
  <c r="AG15" i="19"/>
  <c r="AE15" i="19"/>
  <c r="Y15" i="19"/>
  <c r="X15" i="19"/>
  <c r="W15" i="19"/>
  <c r="P15" i="19"/>
  <c r="O15" i="19"/>
  <c r="N15" i="19"/>
  <c r="L15" i="19"/>
  <c r="AQ14" i="19"/>
  <c r="AP14" i="19"/>
  <c r="AO14" i="19"/>
  <c r="AN14" i="19"/>
  <c r="AN15" i="19" s="1"/>
  <c r="AM14" i="19"/>
  <c r="AM10" i="19" s="1"/>
  <c r="AL14" i="19"/>
  <c r="AK14" i="19"/>
  <c r="AH14" i="19"/>
  <c r="AG14" i="19"/>
  <c r="AF14" i="19"/>
  <c r="AE14" i="19"/>
  <c r="AD14" i="19"/>
  <c r="AD15" i="19" s="1"/>
  <c r="AC14" i="19"/>
  <c r="AC10" i="19" s="1"/>
  <c r="AC11" i="19" s="1"/>
  <c r="AB14" i="19"/>
  <c r="Y14" i="19"/>
  <c r="X14" i="19"/>
  <c r="W14" i="19"/>
  <c r="V14" i="19"/>
  <c r="E14" i="19" s="1"/>
  <c r="U14" i="19"/>
  <c r="T14" i="19"/>
  <c r="T15" i="19" s="1"/>
  <c r="S14" i="19"/>
  <c r="S10" i="19" s="1"/>
  <c r="S11" i="19" s="1"/>
  <c r="Q14" i="19"/>
  <c r="P14" i="19"/>
  <c r="O14" i="19"/>
  <c r="N14" i="19"/>
  <c r="M14" i="19"/>
  <c r="L14" i="19"/>
  <c r="K14" i="19"/>
  <c r="K10" i="19" s="1"/>
  <c r="K11" i="19" s="1"/>
  <c r="H14" i="19"/>
  <c r="H15" i="19" s="1"/>
  <c r="AM13" i="19"/>
  <c r="AD13" i="19"/>
  <c r="U13" i="19"/>
  <c r="M13" i="19"/>
  <c r="H13" i="19"/>
  <c r="D13" i="19" s="1"/>
  <c r="G13" i="19"/>
  <c r="F13" i="19"/>
  <c r="F9" i="19" s="1"/>
  <c r="E13" i="19"/>
  <c r="C13" i="19"/>
  <c r="B13" i="19"/>
  <c r="AQ10" i="19"/>
  <c r="AQ11" i="19" s="1"/>
  <c r="AO10" i="19"/>
  <c r="AO11" i="19" s="1"/>
  <c r="AK10" i="19"/>
  <c r="AK11" i="19" s="1"/>
  <c r="AE10" i="19"/>
  <c r="U10" i="19"/>
  <c r="T10" i="19"/>
  <c r="T11" i="19" s="1"/>
  <c r="L10" i="19"/>
  <c r="AQ9" i="19"/>
  <c r="AP9" i="19"/>
  <c r="AN9" i="19"/>
  <c r="AL9" i="19"/>
  <c r="AH9" i="19"/>
  <c r="AG9" i="19"/>
  <c r="AF9" i="19"/>
  <c r="AB9" i="19"/>
  <c r="W9" i="19"/>
  <c r="T9" i="19"/>
  <c r="O9" i="19"/>
  <c r="K9" i="19"/>
  <c r="H9" i="9" l="1"/>
  <c r="H11" i="9" s="1"/>
  <c r="D10" i="9"/>
  <c r="B20" i="9"/>
  <c r="C15" i="9"/>
  <c r="C9" i="9"/>
  <c r="C11" i="9" s="1"/>
  <c r="E20" i="9"/>
  <c r="G11" i="9"/>
  <c r="C20" i="9"/>
  <c r="C22" i="9" s="1"/>
  <c r="U9" i="9"/>
  <c r="U11" i="9" s="1"/>
  <c r="D40" i="9"/>
  <c r="F20" i="9"/>
  <c r="U31" i="9"/>
  <c r="U20" i="9"/>
  <c r="U22" i="9" s="1"/>
  <c r="H20" i="9"/>
  <c r="H22" i="9" s="1"/>
  <c r="E28" i="9"/>
  <c r="Y22" i="9"/>
  <c r="D31" i="9"/>
  <c r="AD10" i="9"/>
  <c r="AD11" i="9" s="1"/>
  <c r="AE11" i="9"/>
  <c r="H25" i="9"/>
  <c r="V11" i="9"/>
  <c r="E15" i="19"/>
  <c r="D17" i="19"/>
  <c r="AD9" i="19"/>
  <c r="D16" i="19"/>
  <c r="M37" i="19"/>
  <c r="M15" i="19"/>
  <c r="D14" i="19"/>
  <c r="AF15" i="19"/>
  <c r="AC15" i="19"/>
  <c r="P37" i="19"/>
  <c r="G36" i="19"/>
  <c r="G37" i="19" s="1"/>
  <c r="Y22" i="19"/>
  <c r="AO22" i="19"/>
  <c r="B34" i="19"/>
  <c r="E37" i="19"/>
  <c r="C14" i="19"/>
  <c r="F14" i="19"/>
  <c r="X10" i="19"/>
  <c r="X11" i="19" s="1"/>
  <c r="AH10" i="19"/>
  <c r="AH11" i="19" s="1"/>
  <c r="M21" i="19"/>
  <c r="M22" i="19" s="1"/>
  <c r="AD21" i="19"/>
  <c r="AD10" i="19" s="1"/>
  <c r="AD11" i="19" s="1"/>
  <c r="M20" i="19"/>
  <c r="M9" i="19" s="1"/>
  <c r="AD20" i="19"/>
  <c r="AC25" i="19"/>
  <c r="L28" i="19"/>
  <c r="C27" i="19"/>
  <c r="N28" i="19"/>
  <c r="F36" i="19"/>
  <c r="F37" i="19" s="1"/>
  <c r="G24" i="19"/>
  <c r="P21" i="19"/>
  <c r="AM20" i="19"/>
  <c r="AM22" i="19" s="1"/>
  <c r="D27" i="19"/>
  <c r="D28" i="19" s="1"/>
  <c r="AP15" i="19"/>
  <c r="AP10" i="19"/>
  <c r="AP11" i="19" s="1"/>
  <c r="F16" i="19"/>
  <c r="H31" i="19"/>
  <c r="AE11" i="19"/>
  <c r="S15" i="19"/>
  <c r="U20" i="19"/>
  <c r="U22" i="19" s="1"/>
  <c r="O21" i="19"/>
  <c r="O22" i="19" s="1"/>
  <c r="V25" i="19"/>
  <c r="U31" i="19"/>
  <c r="E34" i="19"/>
  <c r="L40" i="19"/>
  <c r="C39" i="19"/>
  <c r="C40" i="19" s="1"/>
  <c r="K15" i="19"/>
  <c r="B14" i="19"/>
  <c r="AN10" i="19"/>
  <c r="AN11" i="19" s="1"/>
  <c r="B9" i="19"/>
  <c r="V22" i="19"/>
  <c r="V15" i="19"/>
  <c r="V10" i="19"/>
  <c r="V11" i="19" s="1"/>
  <c r="X21" i="19"/>
  <c r="X22" i="19" s="1"/>
  <c r="H24" i="19"/>
  <c r="F25" i="19"/>
  <c r="Y25" i="19"/>
  <c r="H29" i="19"/>
  <c r="H20" i="19" s="1"/>
  <c r="H9" i="19" s="1"/>
  <c r="Q20" i="19"/>
  <c r="L11" i="19"/>
  <c r="G14" i="19"/>
  <c r="Q10" i="19"/>
  <c r="Q15" i="19"/>
  <c r="AB10" i="19"/>
  <c r="AB11" i="19" s="1"/>
  <c r="AB15" i="19"/>
  <c r="AL10" i="19"/>
  <c r="AL11" i="19" s="1"/>
  <c r="AL15" i="19"/>
  <c r="U15" i="19"/>
  <c r="AF21" i="19"/>
  <c r="AF22" i="19" s="1"/>
  <c r="C20" i="19"/>
  <c r="C9" i="19" s="1"/>
  <c r="B24" i="19"/>
  <c r="N25" i="19"/>
  <c r="E24" i="19"/>
  <c r="N21" i="19"/>
  <c r="W25" i="19"/>
  <c r="W21" i="19"/>
  <c r="AG25" i="19"/>
  <c r="AG21" i="19"/>
  <c r="P25" i="19"/>
  <c r="M31" i="19"/>
  <c r="V31" i="19"/>
  <c r="E30" i="19"/>
  <c r="Q31" i="19"/>
  <c r="L34" i="19"/>
  <c r="C33" i="19"/>
  <c r="C34" i="19" s="1"/>
  <c r="AK22" i="19"/>
  <c r="P34" i="19"/>
  <c r="H36" i="19"/>
  <c r="H37" i="19" s="1"/>
  <c r="E39" i="19"/>
  <c r="F22" i="9" l="1"/>
  <c r="F9" i="9"/>
  <c r="F11" i="9" s="1"/>
  <c r="B9" i="9"/>
  <c r="B11" i="9" s="1"/>
  <c r="B22" i="9"/>
  <c r="D20" i="9"/>
  <c r="D22" i="9" s="1"/>
  <c r="E9" i="9"/>
  <c r="E22" i="9"/>
  <c r="C28" i="19"/>
  <c r="C21" i="19"/>
  <c r="C22" i="19" s="1"/>
  <c r="O10" i="19"/>
  <c r="O11" i="19" s="1"/>
  <c r="F21" i="19"/>
  <c r="F22" i="19" s="1"/>
  <c r="P22" i="19"/>
  <c r="P10" i="19"/>
  <c r="P11" i="19" s="1"/>
  <c r="C15" i="19"/>
  <c r="B21" i="19"/>
  <c r="B22" i="19" s="1"/>
  <c r="B25" i="19"/>
  <c r="D15" i="19"/>
  <c r="W22" i="19"/>
  <c r="W10" i="19"/>
  <c r="W11" i="19" s="1"/>
  <c r="D30" i="19"/>
  <c r="D31" i="19" s="1"/>
  <c r="E31" i="19"/>
  <c r="N22" i="19"/>
  <c r="N10" i="19"/>
  <c r="N11" i="19" s="1"/>
  <c r="Q9" i="19"/>
  <c r="Q11" i="19" s="1"/>
  <c r="Q22" i="19"/>
  <c r="G25" i="19"/>
  <c r="G21" i="19"/>
  <c r="G22" i="19" s="1"/>
  <c r="D29" i="19"/>
  <c r="D20" i="19" s="1"/>
  <c r="D9" i="19" s="1"/>
  <c r="D36" i="19"/>
  <c r="D37" i="19" s="1"/>
  <c r="B10" i="19"/>
  <c r="B11" i="19" s="1"/>
  <c r="B15" i="19"/>
  <c r="M10" i="19"/>
  <c r="M11" i="19" s="1"/>
  <c r="AG10" i="19"/>
  <c r="AG11" i="19" s="1"/>
  <c r="AG22" i="19"/>
  <c r="H21" i="19"/>
  <c r="H25" i="19"/>
  <c r="G15" i="19"/>
  <c r="U9" i="19"/>
  <c r="U11" i="19" s="1"/>
  <c r="AM9" i="19"/>
  <c r="AM11" i="19" s="1"/>
  <c r="F10" i="19"/>
  <c r="F11" i="19" s="1"/>
  <c r="F15" i="19"/>
  <c r="D39" i="19"/>
  <c r="D40" i="19" s="1"/>
  <c r="E40" i="19"/>
  <c r="E25" i="19"/>
  <c r="D24" i="19"/>
  <c r="E21" i="19"/>
  <c r="AD22" i="19"/>
  <c r="AF10" i="19"/>
  <c r="AF11" i="19" s="1"/>
  <c r="D9" i="9" l="1"/>
  <c r="D11" i="9" s="1"/>
  <c r="E11" i="9"/>
  <c r="D21" i="19"/>
  <c r="D25" i="19"/>
  <c r="H22" i="19"/>
  <c r="H10" i="19"/>
  <c r="H11" i="19" s="1"/>
  <c r="E22" i="19"/>
  <c r="E10" i="19"/>
  <c r="E11" i="19" s="1"/>
  <c r="G10" i="19"/>
  <c r="G11" i="19" s="1"/>
  <c r="C10" i="19"/>
  <c r="C11" i="19" s="1"/>
  <c r="D22" i="19" l="1"/>
  <c r="D10" i="19"/>
  <c r="D11" i="19" s="1"/>
  <c r="AQ40" i="10" l="1"/>
  <c r="AP40" i="10"/>
  <c r="AO40" i="10"/>
  <c r="AN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T40" i="10"/>
  <c r="S40" i="10"/>
  <c r="Q40" i="10"/>
  <c r="P40" i="10"/>
  <c r="O40" i="10"/>
  <c r="N40" i="10"/>
  <c r="L40" i="10"/>
  <c r="K40" i="10"/>
  <c r="G40" i="10"/>
  <c r="F40" i="10"/>
  <c r="E40" i="10"/>
  <c r="AM39" i="10"/>
  <c r="AM40" i="10" s="1"/>
  <c r="AD39" i="10"/>
  <c r="AD40" i="10" s="1"/>
  <c r="U39" i="10"/>
  <c r="U21" i="10" s="1"/>
  <c r="U22" i="10" s="1"/>
  <c r="M39" i="10"/>
  <c r="M40" i="10" s="1"/>
  <c r="H39" i="10"/>
  <c r="H40" i="10" s="1"/>
  <c r="G39" i="10"/>
  <c r="F39" i="10"/>
  <c r="E39" i="10"/>
  <c r="D39" i="10" s="1"/>
  <c r="D40" i="10" s="1"/>
  <c r="C39" i="10"/>
  <c r="C40" i="10" s="1"/>
  <c r="B39" i="10"/>
  <c r="B40" i="10" s="1"/>
  <c r="AM38" i="10"/>
  <c r="AM20" i="10" s="1"/>
  <c r="AM9" i="10" s="1"/>
  <c r="AD38" i="10"/>
  <c r="U38" i="10"/>
  <c r="M38" i="10"/>
  <c r="H38" i="10"/>
  <c r="G38" i="10"/>
  <c r="F38" i="10"/>
  <c r="E38" i="10"/>
  <c r="D38" i="10"/>
  <c r="C38" i="10"/>
  <c r="B38" i="10"/>
  <c r="AQ37" i="10"/>
  <c r="AP37" i="10"/>
  <c r="AO37" i="10"/>
  <c r="AN37" i="10"/>
  <c r="AL37" i="10"/>
  <c r="AK37" i="10"/>
  <c r="AD37" i="10"/>
  <c r="Y37" i="10"/>
  <c r="X37" i="10"/>
  <c r="W37" i="10"/>
  <c r="V37" i="10"/>
  <c r="U37" i="10"/>
  <c r="T37" i="10"/>
  <c r="S37" i="10"/>
  <c r="Q37" i="10"/>
  <c r="P37" i="10"/>
  <c r="O37" i="10"/>
  <c r="N37" i="10"/>
  <c r="M37" i="10"/>
  <c r="L37" i="10"/>
  <c r="K37" i="10"/>
  <c r="H37" i="10"/>
  <c r="B37" i="10"/>
  <c r="AM36" i="10"/>
  <c r="AM21" i="10" s="1"/>
  <c r="AM22" i="10" s="1"/>
  <c r="AD36" i="10"/>
  <c r="AD21" i="10" s="1"/>
  <c r="U36" i="10"/>
  <c r="M36" i="10"/>
  <c r="H36" i="10"/>
  <c r="G36" i="10"/>
  <c r="G37" i="10" s="1"/>
  <c r="F36" i="10"/>
  <c r="F37" i="10" s="1"/>
  <c r="E36" i="10"/>
  <c r="E37" i="10" s="1"/>
  <c r="D36" i="10"/>
  <c r="D37" i="10" s="1"/>
  <c r="C36" i="10"/>
  <c r="C37" i="10" s="1"/>
  <c r="B36" i="10"/>
  <c r="AM35" i="10"/>
  <c r="AD35" i="10"/>
  <c r="U35" i="10"/>
  <c r="H35" i="10"/>
  <c r="G35" i="10"/>
  <c r="F35" i="10"/>
  <c r="E35" i="10"/>
  <c r="D35" i="10" s="1"/>
  <c r="C35" i="10"/>
  <c r="B35" i="10"/>
  <c r="AM34" i="10"/>
  <c r="AH34" i="10"/>
  <c r="AG34" i="10"/>
  <c r="AF34" i="10"/>
  <c r="AE34" i="10"/>
  <c r="AC34" i="10"/>
  <c r="AB34" i="10"/>
  <c r="Y34" i="10"/>
  <c r="X34" i="10"/>
  <c r="W34" i="10"/>
  <c r="V34" i="10"/>
  <c r="T34" i="10"/>
  <c r="S34" i="10"/>
  <c r="M34" i="10"/>
  <c r="F34" i="10"/>
  <c r="E34" i="10"/>
  <c r="AM33" i="10"/>
  <c r="AD33" i="10"/>
  <c r="AD34" i="10" s="1"/>
  <c r="U33" i="10"/>
  <c r="M33" i="10"/>
  <c r="H33" i="10"/>
  <c r="H34" i="10" s="1"/>
  <c r="G33" i="10"/>
  <c r="D33" i="10" s="1"/>
  <c r="F33" i="10"/>
  <c r="E33" i="10"/>
  <c r="C33" i="10"/>
  <c r="C34" i="10" s="1"/>
  <c r="B33" i="10"/>
  <c r="B34" i="10" s="1"/>
  <c r="AM32" i="10"/>
  <c r="AD32" i="10"/>
  <c r="U32" i="10"/>
  <c r="U34" i="10" s="1"/>
  <c r="M32" i="10"/>
  <c r="H32" i="10"/>
  <c r="G32" i="10"/>
  <c r="F32" i="10"/>
  <c r="E32" i="10"/>
  <c r="D32" i="10"/>
  <c r="C32" i="10"/>
  <c r="B32" i="10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T31" i="10"/>
  <c r="S31" i="10"/>
  <c r="Q31" i="10"/>
  <c r="P31" i="10"/>
  <c r="O31" i="10"/>
  <c r="N31" i="10"/>
  <c r="L31" i="10"/>
  <c r="K31" i="10"/>
  <c r="F31" i="10"/>
  <c r="E31" i="10"/>
  <c r="AD30" i="10"/>
  <c r="AD31" i="10" s="1"/>
  <c r="U30" i="10"/>
  <c r="M30" i="10"/>
  <c r="M31" i="10" s="1"/>
  <c r="H30" i="10"/>
  <c r="H31" i="10" s="1"/>
  <c r="G30" i="10"/>
  <c r="D30" i="10" s="1"/>
  <c r="D31" i="10" s="1"/>
  <c r="F30" i="10"/>
  <c r="E30" i="10"/>
  <c r="C30" i="10"/>
  <c r="C31" i="10" s="1"/>
  <c r="B30" i="10"/>
  <c r="AM29" i="10"/>
  <c r="AM31" i="10" s="1"/>
  <c r="AD29" i="10"/>
  <c r="U29" i="10"/>
  <c r="U31" i="10" s="1"/>
  <c r="M29" i="10"/>
  <c r="H29" i="10"/>
  <c r="G29" i="10"/>
  <c r="F29" i="10"/>
  <c r="E29" i="10"/>
  <c r="D29" i="10"/>
  <c r="C29" i="10"/>
  <c r="B29" i="10"/>
  <c r="B31" i="10" s="1"/>
  <c r="AQ28" i="10"/>
  <c r="AP28" i="10"/>
  <c r="AO28" i="10"/>
  <c r="AN28" i="10"/>
  <c r="AL28" i="10"/>
  <c r="AK28" i="10"/>
  <c r="AH28" i="10"/>
  <c r="AG28" i="10"/>
  <c r="AF28" i="10"/>
  <c r="AE28" i="10"/>
  <c r="AC28" i="10"/>
  <c r="AB28" i="10"/>
  <c r="Y28" i="10"/>
  <c r="X28" i="10"/>
  <c r="W28" i="10"/>
  <c r="V28" i="10"/>
  <c r="T28" i="10"/>
  <c r="S28" i="10"/>
  <c r="Q28" i="10"/>
  <c r="P28" i="10"/>
  <c r="O28" i="10"/>
  <c r="N28" i="10"/>
  <c r="L28" i="10"/>
  <c r="K28" i="10"/>
  <c r="F28" i="10"/>
  <c r="E28" i="10"/>
  <c r="AM27" i="10"/>
  <c r="AM28" i="10" s="1"/>
  <c r="U27" i="10"/>
  <c r="M27" i="10"/>
  <c r="M28" i="10" s="1"/>
  <c r="H27" i="10"/>
  <c r="H28" i="10" s="1"/>
  <c r="G27" i="10"/>
  <c r="D27" i="10" s="1"/>
  <c r="D28" i="10" s="1"/>
  <c r="F27" i="10"/>
  <c r="E27" i="10"/>
  <c r="C27" i="10"/>
  <c r="C28" i="10" s="1"/>
  <c r="B27" i="10"/>
  <c r="AM26" i="10"/>
  <c r="AD26" i="10"/>
  <c r="AD28" i="10" s="1"/>
  <c r="U26" i="10"/>
  <c r="U28" i="10" s="1"/>
  <c r="M26" i="10"/>
  <c r="H26" i="10"/>
  <c r="G26" i="10"/>
  <c r="F26" i="10"/>
  <c r="E26" i="10"/>
  <c r="D26" i="10"/>
  <c r="C26" i="10"/>
  <c r="B26" i="10"/>
  <c r="B28" i="10" s="1"/>
  <c r="AD25" i="10"/>
  <c r="Y25" i="10"/>
  <c r="X25" i="10"/>
  <c r="W25" i="10"/>
  <c r="V25" i="10"/>
  <c r="U25" i="10"/>
  <c r="T25" i="10"/>
  <c r="S25" i="10"/>
  <c r="M25" i="10"/>
  <c r="C25" i="10"/>
  <c r="B25" i="10"/>
  <c r="AD24" i="10"/>
  <c r="U24" i="10"/>
  <c r="M24" i="10"/>
  <c r="H24" i="10"/>
  <c r="H25" i="10" s="1"/>
  <c r="G24" i="10"/>
  <c r="F24" i="10"/>
  <c r="F25" i="10" s="1"/>
  <c r="E24" i="10"/>
  <c r="E25" i="10" s="1"/>
  <c r="D24" i="10"/>
  <c r="C24" i="10"/>
  <c r="B24" i="10"/>
  <c r="U23" i="10"/>
  <c r="U20" i="10" s="1"/>
  <c r="M23" i="10"/>
  <c r="H23" i="10"/>
  <c r="G23" i="10"/>
  <c r="G25" i="10" s="1"/>
  <c r="F23" i="10"/>
  <c r="E23" i="10"/>
  <c r="D23" i="10" s="1"/>
  <c r="D20" i="10" s="1"/>
  <c r="C23" i="10"/>
  <c r="B23" i="10"/>
  <c r="AO22" i="10"/>
  <c r="AN22" i="10"/>
  <c r="AE22" i="10"/>
  <c r="AC22" i="10"/>
  <c r="T22" i="10"/>
  <c r="S22" i="10"/>
  <c r="L22" i="10"/>
  <c r="K22" i="10"/>
  <c r="AQ21" i="10"/>
  <c r="H21" i="10" s="1"/>
  <c r="AP21" i="10"/>
  <c r="AP10" i="10" s="1"/>
  <c r="AO21" i="10"/>
  <c r="AN21" i="10"/>
  <c r="AL21" i="10"/>
  <c r="AL22" i="10" s="1"/>
  <c r="AK21" i="10"/>
  <c r="AK22" i="10" s="1"/>
  <c r="AH21" i="10"/>
  <c r="AH22" i="10" s="1"/>
  <c r="AG21" i="10"/>
  <c r="AG22" i="10" s="1"/>
  <c r="AF21" i="10"/>
  <c r="AF10" i="10" s="1"/>
  <c r="AF11" i="10" s="1"/>
  <c r="AE21" i="10"/>
  <c r="AC21" i="10"/>
  <c r="AC10" i="10" s="1"/>
  <c r="AC11" i="10" s="1"/>
  <c r="AB21" i="10"/>
  <c r="AB22" i="10" s="1"/>
  <c r="Y21" i="10"/>
  <c r="Y22" i="10" s="1"/>
  <c r="X21" i="10"/>
  <c r="X22" i="10" s="1"/>
  <c r="W21" i="10"/>
  <c r="W22" i="10" s="1"/>
  <c r="V21" i="10"/>
  <c r="V10" i="10" s="1"/>
  <c r="V11" i="10" s="1"/>
  <c r="T21" i="10"/>
  <c r="S21" i="10"/>
  <c r="S10" i="10" s="1"/>
  <c r="S11" i="10" s="1"/>
  <c r="Q21" i="10"/>
  <c r="Q22" i="10" s="1"/>
  <c r="P21" i="10"/>
  <c r="P22" i="10" s="1"/>
  <c r="O21" i="10"/>
  <c r="O22" i="10" s="1"/>
  <c r="N21" i="10"/>
  <c r="N22" i="10" s="1"/>
  <c r="M21" i="10"/>
  <c r="M10" i="10" s="1"/>
  <c r="M11" i="10" s="1"/>
  <c r="L21" i="10"/>
  <c r="K21" i="10"/>
  <c r="B21" i="10" s="1"/>
  <c r="B22" i="10" s="1"/>
  <c r="C21" i="10"/>
  <c r="AQ20" i="10"/>
  <c r="AP20" i="10"/>
  <c r="AP9" i="10" s="1"/>
  <c r="AO20" i="10"/>
  <c r="AN20" i="10"/>
  <c r="AL20" i="10"/>
  <c r="C20" i="10" s="1"/>
  <c r="AK20" i="10"/>
  <c r="AK9" i="10" s="1"/>
  <c r="AH20" i="10"/>
  <c r="AG20" i="10"/>
  <c r="AF20" i="10"/>
  <c r="AF9" i="10" s="1"/>
  <c r="AE20" i="10"/>
  <c r="AC20" i="10"/>
  <c r="AB20" i="10"/>
  <c r="Y20" i="10"/>
  <c r="Y9" i="10" s="1"/>
  <c r="X20" i="10"/>
  <c r="W20" i="10"/>
  <c r="V20" i="10"/>
  <c r="V9" i="10" s="1"/>
  <c r="T20" i="10"/>
  <c r="S20" i="10"/>
  <c r="Q20" i="10"/>
  <c r="H20" i="10" s="1"/>
  <c r="P20" i="10"/>
  <c r="P9" i="10" s="1"/>
  <c r="G9" i="10" s="1"/>
  <c r="O20" i="10"/>
  <c r="N20" i="10"/>
  <c r="E20" i="10" s="1"/>
  <c r="M20" i="10"/>
  <c r="M9" i="10" s="1"/>
  <c r="L20" i="10"/>
  <c r="K20" i="10"/>
  <c r="B20" i="10" s="1"/>
  <c r="F20" i="10"/>
  <c r="M19" i="10"/>
  <c r="D19" i="10"/>
  <c r="AM18" i="10"/>
  <c r="M18" i="10"/>
  <c r="H18" i="10"/>
  <c r="G18" i="10"/>
  <c r="F18" i="10"/>
  <c r="D18" i="10" s="1"/>
  <c r="E18" i="10"/>
  <c r="C18" i="10"/>
  <c r="B18" i="10"/>
  <c r="M17" i="10"/>
  <c r="H17" i="10"/>
  <c r="G17" i="10"/>
  <c r="F17" i="10"/>
  <c r="D17" i="10" s="1"/>
  <c r="E17" i="10"/>
  <c r="C17" i="10"/>
  <c r="B17" i="10"/>
  <c r="AM16" i="10"/>
  <c r="AD16" i="10"/>
  <c r="U16" i="10"/>
  <c r="M16" i="10"/>
  <c r="H16" i="10"/>
  <c r="G16" i="10"/>
  <c r="F16" i="10"/>
  <c r="E16" i="10"/>
  <c r="D16" i="10"/>
  <c r="C16" i="10"/>
  <c r="B16" i="10"/>
  <c r="AQ15" i="10"/>
  <c r="AP15" i="10"/>
  <c r="AO15" i="10"/>
  <c r="AN15" i="10"/>
  <c r="AM15" i="10"/>
  <c r="AL15" i="10"/>
  <c r="AK15" i="10"/>
  <c r="AH15" i="10"/>
  <c r="AG15" i="10"/>
  <c r="AF15" i="10"/>
  <c r="AE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L15" i="10"/>
  <c r="K15" i="10"/>
  <c r="H15" i="10"/>
  <c r="G15" i="10"/>
  <c r="AM14" i="10"/>
  <c r="AD14" i="10"/>
  <c r="AD10" i="10" s="1"/>
  <c r="U14" i="10"/>
  <c r="M14" i="10"/>
  <c r="M15" i="10" s="1"/>
  <c r="H14" i="10"/>
  <c r="G14" i="10"/>
  <c r="F14" i="10"/>
  <c r="F15" i="10" s="1"/>
  <c r="E14" i="10"/>
  <c r="E15" i="10" s="1"/>
  <c r="D14" i="10"/>
  <c r="C14" i="10"/>
  <c r="C15" i="10" s="1"/>
  <c r="B14" i="10"/>
  <c r="B15" i="10" s="1"/>
  <c r="AM13" i="10"/>
  <c r="AD13" i="10"/>
  <c r="U13" i="10"/>
  <c r="U9" i="10" s="1"/>
  <c r="M13" i="10"/>
  <c r="H13" i="10"/>
  <c r="G13" i="10"/>
  <c r="F13" i="10"/>
  <c r="E13" i="10"/>
  <c r="D13" i="10" s="1"/>
  <c r="D9" i="10" s="1"/>
  <c r="C13" i="10"/>
  <c r="B13" i="10"/>
  <c r="M12" i="10"/>
  <c r="AO11" i="10"/>
  <c r="AN11" i="10"/>
  <c r="AE11" i="10"/>
  <c r="T11" i="10"/>
  <c r="L11" i="10"/>
  <c r="K11" i="10"/>
  <c r="AQ10" i="10"/>
  <c r="AQ11" i="10" s="1"/>
  <c r="AO10" i="10"/>
  <c r="AN10" i="10"/>
  <c r="AL10" i="10"/>
  <c r="AL11" i="10" s="1"/>
  <c r="AK10" i="10"/>
  <c r="AH10" i="10"/>
  <c r="AH11" i="10" s="1"/>
  <c r="AG10" i="10"/>
  <c r="AG11" i="10" s="1"/>
  <c r="AE10" i="10"/>
  <c r="AB10" i="10"/>
  <c r="AB11" i="10" s="1"/>
  <c r="Y10" i="10"/>
  <c r="X10" i="10"/>
  <c r="X11" i="10" s="1"/>
  <c r="W10" i="10"/>
  <c r="W11" i="10" s="1"/>
  <c r="T10" i="10"/>
  <c r="Q10" i="10"/>
  <c r="Q11" i="10" s="1"/>
  <c r="P10" i="10"/>
  <c r="P11" i="10" s="1"/>
  <c r="O10" i="10"/>
  <c r="O11" i="10" s="1"/>
  <c r="N10" i="10"/>
  <c r="E10" i="10" s="1"/>
  <c r="L10" i="10"/>
  <c r="C10" i="10" s="1"/>
  <c r="C11" i="10" s="1"/>
  <c r="K10" i="10"/>
  <c r="B10" i="10" s="1"/>
  <c r="AQ9" i="10"/>
  <c r="AO9" i="10"/>
  <c r="AN9" i="10"/>
  <c r="AL9" i="10"/>
  <c r="AH9" i="10"/>
  <c r="AG9" i="10"/>
  <c r="AE9" i="10"/>
  <c r="AC9" i="10"/>
  <c r="AB9" i="10"/>
  <c r="X9" i="10"/>
  <c r="W9" i="10"/>
  <c r="T9" i="10"/>
  <c r="S9" i="10"/>
  <c r="Q9" i="10"/>
  <c r="O9" i="10"/>
  <c r="F9" i="10" s="1"/>
  <c r="N9" i="10"/>
  <c r="E9" i="10" s="1"/>
  <c r="L9" i="10"/>
  <c r="C9" i="10" s="1"/>
  <c r="K9" i="10"/>
  <c r="AQ40" i="2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H40" i="21"/>
  <c r="E40" i="21"/>
  <c r="H39" i="21"/>
  <c r="G39" i="21"/>
  <c r="G40" i="21" s="1"/>
  <c r="F39" i="21"/>
  <c r="E39" i="21"/>
  <c r="D39" i="21"/>
  <c r="C39" i="21"/>
  <c r="C40" i="21" s="1"/>
  <c r="B39" i="21"/>
  <c r="H38" i="21"/>
  <c r="G38" i="21"/>
  <c r="F38" i="21"/>
  <c r="F40" i="21" s="1"/>
  <c r="E38" i="21"/>
  <c r="C38" i="21"/>
  <c r="B38" i="21"/>
  <c r="B40" i="21" s="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H37" i="21"/>
  <c r="C37" i="21"/>
  <c r="H36" i="21"/>
  <c r="G36" i="21"/>
  <c r="G37" i="21" s="1"/>
  <c r="F36" i="21"/>
  <c r="D36" i="21" s="1"/>
  <c r="E36" i="21"/>
  <c r="C36" i="21"/>
  <c r="B36" i="21"/>
  <c r="B37" i="21" s="1"/>
  <c r="H35" i="21"/>
  <c r="G35" i="21"/>
  <c r="F35" i="21"/>
  <c r="E35" i="21"/>
  <c r="E37" i="21" s="1"/>
  <c r="C35" i="2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H34" i="21" s="1"/>
  <c r="G33" i="21"/>
  <c r="G34" i="21" s="1"/>
  <c r="F33" i="21"/>
  <c r="F34" i="21" s="1"/>
  <c r="E33" i="21"/>
  <c r="E34" i="21" s="1"/>
  <c r="C33" i="21"/>
  <c r="C21" i="21" s="1"/>
  <c r="B33" i="21"/>
  <c r="B34" i="21" s="1"/>
  <c r="H32" i="21"/>
  <c r="G32" i="21"/>
  <c r="F32" i="21"/>
  <c r="E32" i="21"/>
  <c r="D32" i="21" s="1"/>
  <c r="C32" i="21"/>
  <c r="B32" i="21"/>
  <c r="B20" i="21" s="1"/>
  <c r="B9" i="21" s="1"/>
  <c r="AQ31" i="21"/>
  <c r="AP31" i="21"/>
  <c r="AO31" i="21"/>
  <c r="AN31" i="21"/>
  <c r="AL31" i="21"/>
  <c r="AK31" i="21"/>
  <c r="Y31" i="21"/>
  <c r="X31" i="21"/>
  <c r="W31" i="21"/>
  <c r="V31" i="21"/>
  <c r="U31" i="21"/>
  <c r="T31" i="21"/>
  <c r="S31" i="21"/>
  <c r="Q31" i="21"/>
  <c r="P31" i="21"/>
  <c r="O31" i="21"/>
  <c r="N31" i="21"/>
  <c r="L31" i="21"/>
  <c r="K31" i="21"/>
  <c r="F31" i="21"/>
  <c r="E31" i="21"/>
  <c r="AM30" i="21"/>
  <c r="AM21" i="21" s="1"/>
  <c r="AD30" i="21"/>
  <c r="U30" i="21"/>
  <c r="M30" i="21"/>
  <c r="M31" i="21" s="1"/>
  <c r="H30" i="21"/>
  <c r="H31" i="21" s="1"/>
  <c r="G30" i="21"/>
  <c r="F30" i="21"/>
  <c r="E30" i="21"/>
  <c r="D30" i="21"/>
  <c r="C30" i="21"/>
  <c r="B30" i="21"/>
  <c r="AM29" i="21"/>
  <c r="AD29" i="21"/>
  <c r="AD20" i="21" s="1"/>
  <c r="AD9" i="21" s="1"/>
  <c r="U29" i="21"/>
  <c r="H29" i="21"/>
  <c r="G29" i="21"/>
  <c r="G31" i="21" s="1"/>
  <c r="F29" i="21"/>
  <c r="D29" i="21" s="1"/>
  <c r="E29" i="21"/>
  <c r="C29" i="21"/>
  <c r="C31" i="21" s="1"/>
  <c r="B29" i="21"/>
  <c r="B31" i="21" s="1"/>
  <c r="AQ28" i="21"/>
  <c r="AP28" i="21"/>
  <c r="AO28" i="21"/>
  <c r="AN28" i="21"/>
  <c r="AL28" i="21"/>
  <c r="AK28" i="21"/>
  <c r="Y28" i="21"/>
  <c r="X28" i="21"/>
  <c r="W28" i="21"/>
  <c r="V28" i="21"/>
  <c r="T28" i="21"/>
  <c r="S28" i="21"/>
  <c r="Q28" i="21"/>
  <c r="P28" i="21"/>
  <c r="O28" i="21"/>
  <c r="N28" i="21"/>
  <c r="M28" i="21"/>
  <c r="L28" i="21"/>
  <c r="K28" i="21"/>
  <c r="G28" i="21"/>
  <c r="F28" i="21"/>
  <c r="B28" i="21"/>
  <c r="AM27" i="21"/>
  <c r="AM28" i="21" s="1"/>
  <c r="AD27" i="21"/>
  <c r="U27" i="21"/>
  <c r="U28" i="21" s="1"/>
  <c r="H27" i="21"/>
  <c r="H28" i="21" s="1"/>
  <c r="G27" i="21"/>
  <c r="F27" i="21"/>
  <c r="E27" i="21"/>
  <c r="E28" i="21" s="1"/>
  <c r="D27" i="21"/>
  <c r="D28" i="21" s="1"/>
  <c r="C27" i="21"/>
  <c r="B27" i="21"/>
  <c r="H26" i="21"/>
  <c r="G26" i="21"/>
  <c r="D26" i="21" s="1"/>
  <c r="F26" i="21"/>
  <c r="E26" i="21"/>
  <c r="C26" i="21"/>
  <c r="C28" i="21" s="1"/>
  <c r="B26" i="21"/>
  <c r="AQ25" i="21"/>
  <c r="AP25" i="21"/>
  <c r="AO25" i="21"/>
  <c r="AN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L25" i="21"/>
  <c r="K25" i="21"/>
  <c r="G25" i="21"/>
  <c r="C25" i="21"/>
  <c r="AM24" i="21"/>
  <c r="AM25" i="21" s="1"/>
  <c r="AD24" i="21"/>
  <c r="AD21" i="21" s="1"/>
  <c r="M24" i="21"/>
  <c r="M25" i="21" s="1"/>
  <c r="H24" i="21"/>
  <c r="G24" i="21"/>
  <c r="F24" i="21"/>
  <c r="F25" i="21" s="1"/>
  <c r="E24" i="21"/>
  <c r="E21" i="21" s="1"/>
  <c r="E22" i="21" s="1"/>
  <c r="C24" i="21"/>
  <c r="B24" i="21"/>
  <c r="B21" i="21" s="1"/>
  <c r="AM23" i="21"/>
  <c r="AM20" i="21" s="1"/>
  <c r="AM9" i="21" s="1"/>
  <c r="AD23" i="21"/>
  <c r="U23" i="21"/>
  <c r="U25" i="21" s="1"/>
  <c r="M23" i="21"/>
  <c r="H23" i="21"/>
  <c r="H20" i="21" s="1"/>
  <c r="H9" i="21" s="1"/>
  <c r="G23" i="21"/>
  <c r="F23" i="21"/>
  <c r="E23" i="21"/>
  <c r="E20" i="21" s="1"/>
  <c r="E9" i="21" s="1"/>
  <c r="D23" i="21"/>
  <c r="C23" i="21"/>
  <c r="B23" i="21"/>
  <c r="AQ22" i="21"/>
  <c r="AN22" i="21"/>
  <c r="AH22" i="21"/>
  <c r="AG22" i="21"/>
  <c r="X22" i="21"/>
  <c r="W22" i="21"/>
  <c r="T22" i="21"/>
  <c r="Q22" i="21"/>
  <c r="O22" i="21"/>
  <c r="N22" i="21"/>
  <c r="K22" i="21"/>
  <c r="AQ21" i="21"/>
  <c r="AP21" i="21"/>
  <c r="AO21" i="21"/>
  <c r="AO10" i="21" s="1"/>
  <c r="AO11" i="21" s="1"/>
  <c r="AN21" i="21"/>
  <c r="AL21" i="21"/>
  <c r="AL10" i="21" s="1"/>
  <c r="AL11" i="21" s="1"/>
  <c r="AK21" i="21"/>
  <c r="AK22" i="21" s="1"/>
  <c r="AH21" i="21"/>
  <c r="AG21" i="21"/>
  <c r="AF21" i="21"/>
  <c r="AE21" i="21"/>
  <c r="AE10" i="21" s="1"/>
  <c r="AC21" i="21"/>
  <c r="AC10" i="21" s="1"/>
  <c r="AC11" i="21" s="1"/>
  <c r="AB21" i="21"/>
  <c r="AB10" i="21" s="1"/>
  <c r="AB11" i="21" s="1"/>
  <c r="Y21" i="21"/>
  <c r="Y22" i="21" s="1"/>
  <c r="X21" i="21"/>
  <c r="W21" i="21"/>
  <c r="V21" i="21"/>
  <c r="T21" i="21"/>
  <c r="S21" i="21"/>
  <c r="S10" i="21" s="1"/>
  <c r="S11" i="21" s="1"/>
  <c r="H21" i="21"/>
  <c r="H22" i="21" s="1"/>
  <c r="AQ20" i="21"/>
  <c r="AQ9" i="21" s="1"/>
  <c r="AQ11" i="21" s="1"/>
  <c r="AP20" i="21"/>
  <c r="AP9" i="21" s="1"/>
  <c r="AO20" i="21"/>
  <c r="AO9" i="21" s="1"/>
  <c r="AN20" i="21"/>
  <c r="AL20" i="21"/>
  <c r="AK20" i="21"/>
  <c r="AH20" i="21"/>
  <c r="AG20" i="21"/>
  <c r="AG9" i="21" s="1"/>
  <c r="AF20" i="21"/>
  <c r="AF22" i="21" s="1"/>
  <c r="AE20" i="21"/>
  <c r="AE9" i="21" s="1"/>
  <c r="AC20" i="21"/>
  <c r="AC9" i="21" s="1"/>
  <c r="AB20" i="21"/>
  <c r="Y20" i="21"/>
  <c r="X20" i="21"/>
  <c r="W20" i="21"/>
  <c r="W9" i="21" s="1"/>
  <c r="V20" i="21"/>
  <c r="V9" i="21" s="1"/>
  <c r="U20" i="21"/>
  <c r="U9" i="21" s="1"/>
  <c r="T20" i="21"/>
  <c r="S20" i="21"/>
  <c r="S9" i="21" s="1"/>
  <c r="Q20" i="21"/>
  <c r="P20" i="21"/>
  <c r="P22" i="21" s="1"/>
  <c r="O20" i="21"/>
  <c r="N20" i="21"/>
  <c r="N9" i="21" s="1"/>
  <c r="M20" i="21"/>
  <c r="M22" i="21" s="1"/>
  <c r="L20" i="21"/>
  <c r="L9" i="21" s="1"/>
  <c r="K20" i="21"/>
  <c r="F20" i="21"/>
  <c r="C20" i="21"/>
  <c r="C9" i="21" s="1"/>
  <c r="AM18" i="21"/>
  <c r="AD18" i="21"/>
  <c r="U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D17" i="21" s="1"/>
  <c r="F17" i="21"/>
  <c r="E17" i="21"/>
  <c r="C17" i="21"/>
  <c r="B17" i="21"/>
  <c r="AM16" i="21"/>
  <c r="AD16" i="21"/>
  <c r="U16" i="21"/>
  <c r="M16" i="21"/>
  <c r="H16" i="21"/>
  <c r="G16" i="21"/>
  <c r="F16" i="21"/>
  <c r="D16" i="21" s="1"/>
  <c r="E16" i="21"/>
  <c r="C16" i="21"/>
  <c r="B16" i="21"/>
  <c r="AQ15" i="21"/>
  <c r="AP15" i="21"/>
  <c r="AO15" i="21"/>
  <c r="AN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T15" i="21"/>
  <c r="S15" i="21"/>
  <c r="Q15" i="21"/>
  <c r="P15" i="21"/>
  <c r="O15" i="21"/>
  <c r="M15" i="21"/>
  <c r="L15" i="21"/>
  <c r="K15" i="21"/>
  <c r="H15" i="21"/>
  <c r="E15" i="21"/>
  <c r="AD14" i="21"/>
  <c r="AD10" i="21" s="1"/>
  <c r="AD11" i="21" s="1"/>
  <c r="U14" i="21"/>
  <c r="U15" i="21" s="1"/>
  <c r="H14" i="21"/>
  <c r="G14" i="21"/>
  <c r="G15" i="21" s="1"/>
  <c r="F14" i="21"/>
  <c r="F15" i="21" s="1"/>
  <c r="E14" i="21"/>
  <c r="E10" i="21" s="1"/>
  <c r="E11" i="21" s="1"/>
  <c r="C14" i="21"/>
  <c r="C15" i="21" s="1"/>
  <c r="B14" i="21"/>
  <c r="B15" i="21" s="1"/>
  <c r="AD13" i="21"/>
  <c r="AD15" i="21" s="1"/>
  <c r="H13" i="21"/>
  <c r="G13" i="21"/>
  <c r="F13" i="21"/>
  <c r="E13" i="21"/>
  <c r="D13" i="21" s="1"/>
  <c r="C13" i="21"/>
  <c r="B13" i="21"/>
  <c r="Q11" i="21"/>
  <c r="AQ10" i="21"/>
  <c r="AP10" i="21"/>
  <c r="AN10" i="21"/>
  <c r="AK10" i="21"/>
  <c r="AK11" i="21" s="1"/>
  <c r="AH10" i="21"/>
  <c r="AG10" i="21"/>
  <c r="AG11" i="21" s="1"/>
  <c r="AF10" i="21"/>
  <c r="Y10" i="21"/>
  <c r="Y11" i="21" s="1"/>
  <c r="X10" i="21"/>
  <c r="W10" i="21"/>
  <c r="W11" i="21" s="1"/>
  <c r="V10" i="21"/>
  <c r="T10" i="21"/>
  <c r="Q10" i="21"/>
  <c r="P10" i="21"/>
  <c r="P11" i="21" s="1"/>
  <c r="O10" i="21"/>
  <c r="N10" i="21"/>
  <c r="N11" i="21" s="1"/>
  <c r="M10" i="21"/>
  <c r="L10" i="21"/>
  <c r="L11" i="21" s="1"/>
  <c r="K10" i="21"/>
  <c r="AN9" i="21"/>
  <c r="AL9" i="21"/>
  <c r="AK9" i="21"/>
  <c r="AH9" i="21"/>
  <c r="AH11" i="21" s="1"/>
  <c r="AB9" i="21"/>
  <c r="Y9" i="21"/>
  <c r="X9" i="21"/>
  <c r="X11" i="21" s="1"/>
  <c r="T9" i="21"/>
  <c r="T11" i="21" s="1"/>
  <c r="Q9" i="21"/>
  <c r="P9" i="21"/>
  <c r="O9" i="21"/>
  <c r="O11" i="21" s="1"/>
  <c r="K9" i="21"/>
  <c r="K11" i="21" s="1"/>
  <c r="F9" i="21"/>
  <c r="B9" i="10" l="1"/>
  <c r="AK11" i="10"/>
  <c r="D15" i="10"/>
  <c r="AM10" i="10"/>
  <c r="AM11" i="10" s="1"/>
  <c r="D25" i="10"/>
  <c r="B11" i="10"/>
  <c r="C22" i="10"/>
  <c r="AP11" i="10"/>
  <c r="Y11" i="10"/>
  <c r="H22" i="10"/>
  <c r="U10" i="10"/>
  <c r="U11" i="10" s="1"/>
  <c r="H9" i="10"/>
  <c r="E11" i="10"/>
  <c r="D10" i="10"/>
  <c r="D11" i="10" s="1"/>
  <c r="AD22" i="10"/>
  <c r="F10" i="10"/>
  <c r="F11" i="10" s="1"/>
  <c r="AD15" i="10"/>
  <c r="G28" i="10"/>
  <c r="G10" i="10"/>
  <c r="G11" i="10" s="1"/>
  <c r="N11" i="10"/>
  <c r="U15" i="10"/>
  <c r="AD20" i="10"/>
  <c r="AD9" i="10" s="1"/>
  <c r="AD11" i="10" s="1"/>
  <c r="F21" i="10"/>
  <c r="F22" i="10" s="1"/>
  <c r="M22" i="10"/>
  <c r="V22" i="10"/>
  <c r="AF22" i="10"/>
  <c r="AP22" i="10"/>
  <c r="G34" i="10"/>
  <c r="D34" i="10" s="1"/>
  <c r="E21" i="10"/>
  <c r="G31" i="10"/>
  <c r="AM37" i="10"/>
  <c r="H10" i="10"/>
  <c r="G21" i="10"/>
  <c r="AQ22" i="10"/>
  <c r="U40" i="10"/>
  <c r="G20" i="10"/>
  <c r="AP11" i="21"/>
  <c r="M11" i="21"/>
  <c r="C22" i="21"/>
  <c r="C10" i="21"/>
  <c r="C11" i="21" s="1"/>
  <c r="D40" i="21"/>
  <c r="D31" i="21"/>
  <c r="AM10" i="21"/>
  <c r="AM11" i="21" s="1"/>
  <c r="AM22" i="21"/>
  <c r="AD22" i="21"/>
  <c r="V11" i="21"/>
  <c r="AE11" i="21"/>
  <c r="B10" i="21"/>
  <c r="B11" i="21" s="1"/>
  <c r="B22" i="21"/>
  <c r="F10" i="21"/>
  <c r="F11" i="21" s="1"/>
  <c r="U21" i="21"/>
  <c r="U22" i="21" s="1"/>
  <c r="AB22" i="21"/>
  <c r="AM31" i="21"/>
  <c r="G20" i="21"/>
  <c r="G9" i="21" s="1"/>
  <c r="AC22" i="21"/>
  <c r="M9" i="21"/>
  <c r="AF9" i="21"/>
  <c r="AF11" i="21" s="1"/>
  <c r="H10" i="21"/>
  <c r="H11" i="21" s="1"/>
  <c r="D14" i="21"/>
  <c r="F21" i="21"/>
  <c r="F22" i="21" s="1"/>
  <c r="L22" i="21"/>
  <c r="AE22" i="21"/>
  <c r="AO22" i="21"/>
  <c r="D24" i="21"/>
  <c r="B25" i="21"/>
  <c r="D35" i="21"/>
  <c r="D37" i="21" s="1"/>
  <c r="F37" i="21"/>
  <c r="G21" i="21"/>
  <c r="V22" i="21"/>
  <c r="AP22" i="21"/>
  <c r="C34" i="21"/>
  <c r="E25" i="21"/>
  <c r="D33" i="21"/>
  <c r="D34" i="21" s="1"/>
  <c r="D38" i="21"/>
  <c r="AL22" i="21"/>
  <c r="S22" i="21"/>
  <c r="H25" i="21"/>
  <c r="D21" i="10" l="1"/>
  <c r="D22" i="10" s="1"/>
  <c r="E22" i="10"/>
  <c r="G22" i="10"/>
  <c r="H11" i="10"/>
  <c r="D20" i="21"/>
  <c r="D9" i="21" s="1"/>
  <c r="D21" i="21"/>
  <c r="D22" i="21" s="1"/>
  <c r="D25" i="21"/>
  <c r="G22" i="21"/>
  <c r="G10" i="21"/>
  <c r="G11" i="21" s="1"/>
  <c r="U10" i="21"/>
  <c r="U11" i="21" s="1"/>
  <c r="D15" i="21"/>
  <c r="D10" i="21" l="1"/>
  <c r="D11" i="21" s="1"/>
  <c r="AQ40" i="2" l="1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AM40" i="2"/>
  <c r="M40" i="2"/>
  <c r="H39" i="2"/>
  <c r="G39" i="2"/>
  <c r="F39" i="2"/>
  <c r="E39" i="2"/>
  <c r="C39" i="2"/>
  <c r="B39" i="2"/>
  <c r="AM20" i="2"/>
  <c r="AD40" i="2"/>
  <c r="H38" i="2"/>
  <c r="G38" i="2"/>
  <c r="F38" i="2"/>
  <c r="E38" i="2"/>
  <c r="C38" i="2"/>
  <c r="C40" i="2" s="1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AD37" i="2"/>
  <c r="U37" i="2"/>
  <c r="H36" i="2"/>
  <c r="G36" i="2"/>
  <c r="F36" i="2"/>
  <c r="E36" i="2"/>
  <c r="C36" i="2"/>
  <c r="B36" i="2"/>
  <c r="H35" i="2"/>
  <c r="G35" i="2"/>
  <c r="F35" i="2"/>
  <c r="E35" i="2"/>
  <c r="C35" i="2"/>
  <c r="B35" i="2"/>
  <c r="AH34" i="2"/>
  <c r="AG34" i="2"/>
  <c r="AF34" i="2"/>
  <c r="AE34" i="2"/>
  <c r="AC34" i="2"/>
  <c r="AB34" i="2"/>
  <c r="Y34" i="2"/>
  <c r="X34" i="2"/>
  <c r="W34" i="2"/>
  <c r="V34" i="2"/>
  <c r="T34" i="2"/>
  <c r="S34" i="2"/>
  <c r="AD34" i="2"/>
  <c r="U34" i="2"/>
  <c r="M33" i="2"/>
  <c r="M21" i="2" s="1"/>
  <c r="M10" i="2" s="1"/>
  <c r="H33" i="2"/>
  <c r="G33" i="2"/>
  <c r="F33" i="2"/>
  <c r="E33" i="2"/>
  <c r="C33" i="2"/>
  <c r="B33" i="2"/>
  <c r="M32" i="2"/>
  <c r="H32" i="2"/>
  <c r="G32" i="2"/>
  <c r="F32" i="2"/>
  <c r="E32" i="2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AD31" i="2"/>
  <c r="U31" i="2"/>
  <c r="H30" i="2"/>
  <c r="G30" i="2"/>
  <c r="F30" i="2"/>
  <c r="E30" i="2"/>
  <c r="C30" i="2"/>
  <c r="B30" i="2"/>
  <c r="M31" i="2"/>
  <c r="H29" i="2"/>
  <c r="G29" i="2"/>
  <c r="F29" i="2"/>
  <c r="E29" i="2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AD28" i="2"/>
  <c r="U28" i="2"/>
  <c r="H27" i="2"/>
  <c r="G27" i="2"/>
  <c r="F27" i="2"/>
  <c r="E27" i="2"/>
  <c r="C27" i="2"/>
  <c r="B27" i="2"/>
  <c r="M28" i="2"/>
  <c r="H26" i="2"/>
  <c r="G26" i="2"/>
  <c r="F26" i="2"/>
  <c r="E26" i="2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AD25" i="2"/>
  <c r="U25" i="2"/>
  <c r="H24" i="2"/>
  <c r="G24" i="2"/>
  <c r="F24" i="2"/>
  <c r="E24" i="2"/>
  <c r="C24" i="2"/>
  <c r="B24" i="2"/>
  <c r="M20" i="2"/>
  <c r="M9" i="2" s="1"/>
  <c r="H23" i="2"/>
  <c r="G23" i="2"/>
  <c r="F23" i="2"/>
  <c r="E23" i="2"/>
  <c r="C23" i="2"/>
  <c r="B23" i="2"/>
  <c r="AQ21" i="2"/>
  <c r="AQ10" i="2" s="1"/>
  <c r="AP21" i="2"/>
  <c r="AP10" i="2" s="1"/>
  <c r="AO21" i="2"/>
  <c r="AO10" i="2" s="1"/>
  <c r="AN21" i="2"/>
  <c r="AN10" i="2" s="1"/>
  <c r="AM21" i="2"/>
  <c r="AM10" i="2" s="1"/>
  <c r="AL21" i="2"/>
  <c r="AL10" i="2" s="1"/>
  <c r="AK21" i="2"/>
  <c r="AH21" i="2"/>
  <c r="AH10" i="2" s="1"/>
  <c r="AG21" i="2"/>
  <c r="AG10" i="2" s="1"/>
  <c r="AF21" i="2"/>
  <c r="AF10" i="2" s="1"/>
  <c r="AE21" i="2"/>
  <c r="AC21" i="2"/>
  <c r="AC10" i="2" s="1"/>
  <c r="AB21" i="2"/>
  <c r="Y21" i="2"/>
  <c r="X21" i="2"/>
  <c r="X10" i="2" s="1"/>
  <c r="W21" i="2"/>
  <c r="W10" i="2" s="1"/>
  <c r="V21" i="2"/>
  <c r="U21" i="2"/>
  <c r="T21" i="2"/>
  <c r="T10" i="2" s="1"/>
  <c r="S21" i="2"/>
  <c r="S10" i="2" s="1"/>
  <c r="Q21" i="2"/>
  <c r="Q10" i="2" s="1"/>
  <c r="P21" i="2"/>
  <c r="O21" i="2"/>
  <c r="O10" i="2" s="1"/>
  <c r="N21" i="2"/>
  <c r="N10" i="2" s="1"/>
  <c r="L21" i="2"/>
  <c r="K21" i="2"/>
  <c r="K10" i="2" s="1"/>
  <c r="AQ20" i="2"/>
  <c r="AQ9" i="2" s="1"/>
  <c r="AP20" i="2"/>
  <c r="AP9" i="2" s="1"/>
  <c r="AO20" i="2"/>
  <c r="AO9" i="2" s="1"/>
  <c r="AN20" i="2"/>
  <c r="AN9" i="2" s="1"/>
  <c r="AL20" i="2"/>
  <c r="AL9" i="2" s="1"/>
  <c r="AK20" i="2"/>
  <c r="AK9" i="2" s="1"/>
  <c r="AH20" i="2"/>
  <c r="AG20" i="2"/>
  <c r="AG9" i="2" s="1"/>
  <c r="AF20" i="2"/>
  <c r="AF9" i="2" s="1"/>
  <c r="AE20" i="2"/>
  <c r="AE9" i="2" s="1"/>
  <c r="AD20" i="2"/>
  <c r="AC20" i="2"/>
  <c r="AB20" i="2"/>
  <c r="AB9" i="2" s="1"/>
  <c r="Y20" i="2"/>
  <c r="Y9" i="2" s="1"/>
  <c r="X20" i="2"/>
  <c r="W20" i="2"/>
  <c r="W9" i="2" s="1"/>
  <c r="V20" i="2"/>
  <c r="V9" i="2" s="1"/>
  <c r="U20" i="2"/>
  <c r="U9" i="2" s="1"/>
  <c r="T20" i="2"/>
  <c r="S20" i="2"/>
  <c r="S9" i="2" s="1"/>
  <c r="Q20" i="2"/>
  <c r="Q9" i="2" s="1"/>
  <c r="P20" i="2"/>
  <c r="P9" i="2" s="1"/>
  <c r="O20" i="2"/>
  <c r="N20" i="2"/>
  <c r="L20" i="2"/>
  <c r="L9" i="2" s="1"/>
  <c r="K20" i="2"/>
  <c r="M18" i="2"/>
  <c r="H18" i="2"/>
  <c r="G18" i="2"/>
  <c r="F18" i="2"/>
  <c r="E18" i="2"/>
  <c r="C18" i="2"/>
  <c r="B18" i="2"/>
  <c r="H17" i="2"/>
  <c r="G17" i="2"/>
  <c r="F17" i="2"/>
  <c r="E17" i="2"/>
  <c r="C17" i="2"/>
  <c r="B17" i="2"/>
  <c r="H16" i="2"/>
  <c r="G16" i="2"/>
  <c r="F16" i="2"/>
  <c r="E16" i="2"/>
  <c r="C16" i="2"/>
  <c r="B16" i="2"/>
  <c r="AQ15" i="2"/>
  <c r="AP15" i="2"/>
  <c r="AO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AM15" i="2"/>
  <c r="M15" i="2"/>
  <c r="H14" i="2"/>
  <c r="G14" i="2"/>
  <c r="F14" i="2"/>
  <c r="E14" i="2"/>
  <c r="C14" i="2"/>
  <c r="B14" i="2"/>
  <c r="AD15" i="2"/>
  <c r="U15" i="2"/>
  <c r="H13" i="2"/>
  <c r="G13" i="2"/>
  <c r="F13" i="2"/>
  <c r="F15" i="2" s="1"/>
  <c r="E13" i="2"/>
  <c r="C13" i="2"/>
  <c r="B13" i="2"/>
  <c r="H34" i="2" l="1"/>
  <c r="D14" i="2"/>
  <c r="D33" i="2"/>
  <c r="E37" i="2"/>
  <c r="G31" i="2"/>
  <c r="E28" i="2"/>
  <c r="H25" i="2"/>
  <c r="AP11" i="2"/>
  <c r="AO11" i="2"/>
  <c r="AP22" i="2"/>
  <c r="AQ22" i="2"/>
  <c r="AK22" i="2"/>
  <c r="AL11" i="2"/>
  <c r="AL22" i="2"/>
  <c r="D18" i="2"/>
  <c r="AQ11" i="2"/>
  <c r="AC22" i="2"/>
  <c r="AH22" i="2"/>
  <c r="AB22" i="2"/>
  <c r="AC9" i="2"/>
  <c r="AC11" i="2" s="1"/>
  <c r="AB10" i="2"/>
  <c r="AF22" i="2"/>
  <c r="AG22" i="2"/>
  <c r="AE22" i="2"/>
  <c r="AF11" i="2"/>
  <c r="AG11" i="2"/>
  <c r="G15" i="2"/>
  <c r="E15" i="2"/>
  <c r="D17" i="2"/>
  <c r="G25" i="2"/>
  <c r="B34" i="2"/>
  <c r="G20" i="2"/>
  <c r="G9" i="2" s="1"/>
  <c r="D32" i="2"/>
  <c r="D34" i="2" s="1"/>
  <c r="C34" i="2"/>
  <c r="G34" i="2"/>
  <c r="F21" i="2"/>
  <c r="X22" i="2"/>
  <c r="S11" i="2"/>
  <c r="F37" i="2"/>
  <c r="S22" i="2"/>
  <c r="B37" i="2"/>
  <c r="U22" i="2"/>
  <c r="V22" i="2"/>
  <c r="W11" i="2"/>
  <c r="H40" i="2"/>
  <c r="Y22" i="2"/>
  <c r="F20" i="2"/>
  <c r="F9" i="2" s="1"/>
  <c r="T22" i="2"/>
  <c r="W22" i="2"/>
  <c r="V10" i="2"/>
  <c r="V11" i="2" s="1"/>
  <c r="F40" i="2"/>
  <c r="B40" i="2"/>
  <c r="D39" i="2"/>
  <c r="G40" i="2"/>
  <c r="C37" i="2"/>
  <c r="G37" i="2"/>
  <c r="B21" i="2"/>
  <c r="B10" i="2" s="1"/>
  <c r="D36" i="2"/>
  <c r="D29" i="2"/>
  <c r="B31" i="2"/>
  <c r="C31" i="2"/>
  <c r="H31" i="2"/>
  <c r="G21" i="2"/>
  <c r="G10" i="2" s="1"/>
  <c r="H21" i="2"/>
  <c r="H10" i="2" s="1"/>
  <c r="C21" i="2"/>
  <c r="C10" i="2" s="1"/>
  <c r="D30" i="2"/>
  <c r="N22" i="2"/>
  <c r="H28" i="2"/>
  <c r="D27" i="2"/>
  <c r="B28" i="2"/>
  <c r="C28" i="2"/>
  <c r="N9" i="2"/>
  <c r="N11" i="2" s="1"/>
  <c r="E20" i="2"/>
  <c r="E9" i="2" s="1"/>
  <c r="B20" i="2"/>
  <c r="B9" i="2" s="1"/>
  <c r="C20" i="2"/>
  <c r="G28" i="2"/>
  <c r="O22" i="2"/>
  <c r="K22" i="2"/>
  <c r="E25" i="2"/>
  <c r="D24" i="2"/>
  <c r="L22" i="2"/>
  <c r="B25" i="2"/>
  <c r="H20" i="2"/>
  <c r="H9" i="2" s="1"/>
  <c r="C25" i="2"/>
  <c r="Q22" i="2"/>
  <c r="Q11" i="2"/>
  <c r="P22" i="2"/>
  <c r="D16" i="2"/>
  <c r="B15" i="2"/>
  <c r="H15" i="2"/>
  <c r="C15" i="2"/>
  <c r="AM9" i="2"/>
  <c r="AM11" i="2" s="1"/>
  <c r="AM22" i="2"/>
  <c r="M11" i="2"/>
  <c r="M22" i="2"/>
  <c r="K9" i="2"/>
  <c r="K11" i="2" s="1"/>
  <c r="T9" i="2"/>
  <c r="T11" i="2" s="1"/>
  <c r="AD9" i="2"/>
  <c r="P10" i="2"/>
  <c r="P11" i="2" s="1"/>
  <c r="Y10" i="2"/>
  <c r="Y11" i="2" s="1"/>
  <c r="AK10" i="2"/>
  <c r="AK11" i="2" s="1"/>
  <c r="AD21" i="2"/>
  <c r="AD22" i="2" s="1"/>
  <c r="D23" i="2"/>
  <c r="F25" i="2"/>
  <c r="D26" i="2"/>
  <c r="F28" i="2"/>
  <c r="H37" i="2"/>
  <c r="E40" i="2"/>
  <c r="D38" i="2"/>
  <c r="D13" i="2"/>
  <c r="D15" i="2" s="1"/>
  <c r="AO22" i="2"/>
  <c r="E31" i="2"/>
  <c r="E34" i="2"/>
  <c r="O9" i="2"/>
  <c r="O11" i="2" s="1"/>
  <c r="X9" i="2"/>
  <c r="X11" i="2" s="1"/>
  <c r="AH9" i="2"/>
  <c r="AH11" i="2" s="1"/>
  <c r="L10" i="2"/>
  <c r="L11" i="2" s="1"/>
  <c r="U10" i="2"/>
  <c r="U11" i="2" s="1"/>
  <c r="AE10" i="2"/>
  <c r="AE11" i="2" s="1"/>
  <c r="E21" i="2"/>
  <c r="F31" i="2"/>
  <c r="F34" i="2"/>
  <c r="M25" i="2"/>
  <c r="D35" i="2"/>
  <c r="D31" i="2" l="1"/>
  <c r="D25" i="2"/>
  <c r="D37" i="2"/>
  <c r="D21" i="2"/>
  <c r="D10" i="2" s="1"/>
  <c r="F22" i="2"/>
  <c r="AB11" i="2"/>
  <c r="F10" i="2"/>
  <c r="D28" i="2"/>
  <c r="C22" i="2"/>
  <c r="D40" i="2"/>
  <c r="G22" i="2"/>
  <c r="H22" i="2"/>
  <c r="H11" i="2"/>
  <c r="G11" i="2"/>
  <c r="B22" i="2"/>
  <c r="C9" i="2"/>
  <c r="C11" i="2" s="1"/>
  <c r="B11" i="2"/>
  <c r="E22" i="2"/>
  <c r="E10" i="2"/>
  <c r="D20" i="2"/>
  <c r="D9" i="2" s="1"/>
  <c r="AD10" i="2"/>
  <c r="F11" i="2" l="1"/>
  <c r="AD11" i="2"/>
  <c r="E11" i="2"/>
  <c r="D11" i="2"/>
  <c r="D22" i="2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G112" i="5" s="1"/>
  <c r="F75" i="5"/>
  <c r="F112" i="5" s="1"/>
  <c r="E75" i="5"/>
  <c r="E112" i="5" s="1"/>
  <c r="C75" i="5"/>
  <c r="C112" i="5" s="1"/>
  <c r="B75" i="5"/>
  <c r="H73" i="5"/>
  <c r="H110" i="5" s="1"/>
  <c r="G73" i="5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G109" i="5" s="1"/>
  <c r="F72" i="5"/>
  <c r="E72" i="5"/>
  <c r="C72" i="5"/>
  <c r="C109" i="5" s="1"/>
  <c r="B72" i="5"/>
  <c r="B109" i="5" s="1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G106" i="5" s="1"/>
  <c r="F69" i="5"/>
  <c r="F106" i="5" s="1"/>
  <c r="E69" i="5"/>
  <c r="E106" i="5" s="1"/>
  <c r="C69" i="5"/>
  <c r="B69" i="5"/>
  <c r="H67" i="5"/>
  <c r="G67" i="5"/>
  <c r="F67" i="5"/>
  <c r="F104" i="5" s="1"/>
  <c r="E67" i="5"/>
  <c r="D67" i="5"/>
  <c r="C67" i="5"/>
  <c r="B67" i="5"/>
  <c r="H66" i="5"/>
  <c r="H103" i="5" s="1"/>
  <c r="G66" i="5"/>
  <c r="G103" i="5" s="1"/>
  <c r="F66" i="5"/>
  <c r="F103" i="5" s="1"/>
  <c r="E66" i="5"/>
  <c r="E103" i="5" s="1"/>
  <c r="C66" i="5"/>
  <c r="C103" i="5" s="1"/>
  <c r="B66" i="5"/>
  <c r="H64" i="5"/>
  <c r="G64" i="5"/>
  <c r="F64" i="5"/>
  <c r="E64" i="5"/>
  <c r="C64" i="5"/>
  <c r="C101" i="5" s="1"/>
  <c r="B64" i="5"/>
  <c r="H63" i="5"/>
  <c r="H100" i="5" s="1"/>
  <c r="G63" i="5"/>
  <c r="G100" i="5" s="1"/>
  <c r="F63" i="5"/>
  <c r="F100" i="5" s="1"/>
  <c r="E63" i="5"/>
  <c r="E100" i="5" s="1"/>
  <c r="C63" i="5"/>
  <c r="C100" i="5" s="1"/>
  <c r="B63" i="5"/>
  <c r="B100" i="5" s="1"/>
  <c r="H61" i="5"/>
  <c r="H98" i="5" s="1"/>
  <c r="G61" i="5"/>
  <c r="G98" i="5" s="1"/>
  <c r="F61" i="5"/>
  <c r="E61" i="5"/>
  <c r="E98" i="5" s="1"/>
  <c r="C61" i="5"/>
  <c r="C98" i="5" s="1"/>
  <c r="B61" i="5"/>
  <c r="B98" i="5" s="1"/>
  <c r="H60" i="5"/>
  <c r="G60" i="5"/>
  <c r="G97" i="5" s="1"/>
  <c r="F60" i="5"/>
  <c r="F97" i="5" s="1"/>
  <c r="E60" i="5"/>
  <c r="E97" i="5" s="1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E88" i="5" s="1"/>
  <c r="C51" i="5"/>
  <c r="B51" i="5"/>
  <c r="H50" i="5"/>
  <c r="H87" i="5" s="1"/>
  <c r="G50" i="5"/>
  <c r="G87" i="5" s="1"/>
  <c r="F50" i="5"/>
  <c r="F87" i="5" s="1"/>
  <c r="E50" i="5"/>
  <c r="E87" i="5" s="1"/>
  <c r="C50" i="5"/>
  <c r="C87" i="5" s="1"/>
  <c r="B50" i="5"/>
  <c r="B87" i="5" s="1"/>
  <c r="D76" i="5"/>
  <c r="D75" i="5"/>
  <c r="D112" i="5" s="1"/>
  <c r="B112" i="5"/>
  <c r="D72" i="5"/>
  <c r="F107" i="5"/>
  <c r="D69" i="5"/>
  <c r="D66" i="5"/>
  <c r="D63" i="5"/>
  <c r="D100" i="5" s="1"/>
  <c r="D61" i="5"/>
  <c r="D60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D50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H113" i="11" s="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C104" i="11" s="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D75" i="11"/>
  <c r="F112" i="11"/>
  <c r="D73" i="11"/>
  <c r="D72" i="11"/>
  <c r="D109" i="11" s="1"/>
  <c r="F109" i="11"/>
  <c r="D70" i="11"/>
  <c r="D69" i="11"/>
  <c r="D106" i="11" s="1"/>
  <c r="D67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G113" i="8" s="1"/>
  <c r="F76" i="8"/>
  <c r="F113" i="8" s="1"/>
  <c r="E76" i="8"/>
  <c r="E113" i="8" s="1"/>
  <c r="C76" i="8"/>
  <c r="B76" i="8"/>
  <c r="H75" i="8"/>
  <c r="G75" i="8"/>
  <c r="F75" i="8"/>
  <c r="F112" i="8" s="1"/>
  <c r="E75" i="8"/>
  <c r="C75" i="8"/>
  <c r="C112" i="8" s="1"/>
  <c r="B75" i="8"/>
  <c r="B112" i="8" s="1"/>
  <c r="H73" i="8"/>
  <c r="H110" i="8" s="1"/>
  <c r="G73" i="8"/>
  <c r="F73" i="8"/>
  <c r="E73" i="8"/>
  <c r="E110" i="8" s="1"/>
  <c r="C73" i="8"/>
  <c r="C110" i="8" s="1"/>
  <c r="B73" i="8"/>
  <c r="B110" i="8" s="1"/>
  <c r="H72" i="8"/>
  <c r="H109" i="8" s="1"/>
  <c r="G72" i="8"/>
  <c r="F72" i="8"/>
  <c r="F109" i="8" s="1"/>
  <c r="E72" i="8"/>
  <c r="C72" i="8"/>
  <c r="B72" i="8"/>
  <c r="B109" i="8" s="1"/>
  <c r="H70" i="8"/>
  <c r="H107" i="8" s="1"/>
  <c r="G70" i="8"/>
  <c r="G107" i="8" s="1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E106" i="8" s="1"/>
  <c r="C69" i="8"/>
  <c r="C106" i="8" s="1"/>
  <c r="B69" i="8"/>
  <c r="B106" i="8" s="1"/>
  <c r="H67" i="8"/>
  <c r="G67" i="8"/>
  <c r="F67" i="8"/>
  <c r="F104" i="8" s="1"/>
  <c r="E67" i="8"/>
  <c r="E104" i="8" s="1"/>
  <c r="C67" i="8"/>
  <c r="B67" i="8"/>
  <c r="H66" i="8"/>
  <c r="H103" i="8" s="1"/>
  <c r="G66" i="8"/>
  <c r="G103" i="8" s="1"/>
  <c r="F66" i="8"/>
  <c r="F103" i="8" s="1"/>
  <c r="E66" i="8"/>
  <c r="C66" i="8"/>
  <c r="C103" i="8" s="1"/>
  <c r="B66" i="8"/>
  <c r="H64" i="8"/>
  <c r="H101" i="8" s="1"/>
  <c r="G64" i="8"/>
  <c r="F64" i="8"/>
  <c r="E64" i="8"/>
  <c r="E101" i="8" s="1"/>
  <c r="C64" i="8"/>
  <c r="C101" i="8" s="1"/>
  <c r="B64" i="8"/>
  <c r="B101" i="8" s="1"/>
  <c r="H63" i="8"/>
  <c r="H100" i="8" s="1"/>
  <c r="G63" i="8"/>
  <c r="F63" i="8"/>
  <c r="E63" i="8"/>
  <c r="E100" i="8" s="1"/>
  <c r="C63" i="8"/>
  <c r="C100" i="8" s="1"/>
  <c r="B63" i="8"/>
  <c r="B100" i="8" s="1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G97" i="8" s="1"/>
  <c r="F60" i="8"/>
  <c r="F97" i="8" s="1"/>
  <c r="E60" i="8"/>
  <c r="E97" i="8" s="1"/>
  <c r="C60" i="8"/>
  <c r="C97" i="8" s="1"/>
  <c r="B60" i="8"/>
  <c r="H55" i="8"/>
  <c r="H92" i="8" s="1"/>
  <c r="G55" i="8"/>
  <c r="G92" i="8" s="1"/>
  <c r="F55" i="8"/>
  <c r="F92" i="8" s="1"/>
  <c r="E55" i="8"/>
  <c r="E92" i="8" s="1"/>
  <c r="C55" i="8"/>
  <c r="C92" i="8" s="1"/>
  <c r="B55" i="8"/>
  <c r="H54" i="8"/>
  <c r="H91" i="8" s="1"/>
  <c r="G54" i="8"/>
  <c r="G91" i="8" s="1"/>
  <c r="F54" i="8"/>
  <c r="F91" i="8" s="1"/>
  <c r="E54" i="8"/>
  <c r="E91" i="8" s="1"/>
  <c r="C54" i="8"/>
  <c r="C91" i="8" s="1"/>
  <c r="B54" i="8"/>
  <c r="B91" i="8" s="1"/>
  <c r="H53" i="8"/>
  <c r="H90" i="8" s="1"/>
  <c r="G53" i="8"/>
  <c r="F53" i="8"/>
  <c r="E53" i="8"/>
  <c r="C53" i="8"/>
  <c r="C90" i="8" s="1"/>
  <c r="B53" i="8"/>
  <c r="B90" i="8" s="1"/>
  <c r="H51" i="8"/>
  <c r="H88" i="8" s="1"/>
  <c r="G51" i="8"/>
  <c r="G88" i="8" s="1"/>
  <c r="F51" i="8"/>
  <c r="F88" i="8" s="1"/>
  <c r="E51" i="8"/>
  <c r="E88" i="8" s="1"/>
  <c r="C51" i="8"/>
  <c r="C88" i="8" s="1"/>
  <c r="B51" i="8"/>
  <c r="H50" i="8"/>
  <c r="G50" i="8"/>
  <c r="G87" i="8" s="1"/>
  <c r="F50" i="8"/>
  <c r="F87" i="8" s="1"/>
  <c r="E50" i="8"/>
  <c r="E87" i="8" s="1"/>
  <c r="C50" i="8"/>
  <c r="C87" i="8" s="1"/>
  <c r="B50" i="8"/>
  <c r="B87" i="8" s="1"/>
  <c r="D76" i="8"/>
  <c r="D75" i="8"/>
  <c r="G112" i="8"/>
  <c r="D73" i="8"/>
  <c r="D72" i="8"/>
  <c r="G109" i="8"/>
  <c r="C109" i="8"/>
  <c r="D70" i="8"/>
  <c r="D69" i="8"/>
  <c r="D67" i="8"/>
  <c r="D66" i="8"/>
  <c r="E103" i="8"/>
  <c r="B103" i="8"/>
  <c r="G100" i="8"/>
  <c r="D61" i="8"/>
  <c r="G98" i="8"/>
  <c r="D60" i="8"/>
  <c r="B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B92" i="8"/>
  <c r="D54" i="8"/>
  <c r="D53" i="8"/>
  <c r="G90" i="8"/>
  <c r="F90" i="8"/>
  <c r="D50" i="8"/>
  <c r="C47" i="8"/>
  <c r="B47" i="8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B112" i="13" s="1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F69" i="13"/>
  <c r="E69" i="13"/>
  <c r="E106" i="13" s="1"/>
  <c r="C69" i="13"/>
  <c r="C106" i="13" s="1"/>
  <c r="B69" i="13"/>
  <c r="B106" i="13" s="1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G103" i="13" s="1"/>
  <c r="F66" i="13"/>
  <c r="F103" i="13" s="1"/>
  <c r="E66" i="13"/>
  <c r="E103" i="13" s="1"/>
  <c r="C66" i="13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E98" i="13" s="1"/>
  <c r="D61" i="13"/>
  <c r="D98" i="13" s="1"/>
  <c r="C61" i="13"/>
  <c r="C98" i="13" s="1"/>
  <c r="B61" i="13"/>
  <c r="B98" i="13" s="1"/>
  <c r="H60" i="13"/>
  <c r="G60" i="13"/>
  <c r="G97" i="13" s="1"/>
  <c r="F60" i="13"/>
  <c r="F97" i="13" s="1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H90" i="13" s="1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D69" i="13"/>
  <c r="G106" i="13"/>
  <c r="D66" i="13"/>
  <c r="C103" i="13"/>
  <c r="D63" i="13"/>
  <c r="D60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G51" i="13"/>
  <c r="E51" i="13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F104" i="28" s="1"/>
  <c r="E67" i="28"/>
  <c r="E104" i="28" s="1"/>
  <c r="C67" i="28"/>
  <c r="C104" i="28" s="1"/>
  <c r="B67" i="28"/>
  <c r="B104" i="28" s="1"/>
  <c r="H66" i="28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B63" i="28"/>
  <c r="B100" i="28" s="1"/>
  <c r="H61" i="28"/>
  <c r="G61" i="28"/>
  <c r="G98" i="28" s="1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F60" i="28"/>
  <c r="F97" i="28" s="1"/>
  <c r="E60" i="28"/>
  <c r="E97" i="28" s="1"/>
  <c r="C60" i="28"/>
  <c r="B60" i="28"/>
  <c r="B97" i="28" s="1"/>
  <c r="H55" i="28"/>
  <c r="H92" i="28" s="1"/>
  <c r="G55" i="28"/>
  <c r="G92" i="28" s="1"/>
  <c r="F55" i="28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E88" i="28" s="1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D66" i="28"/>
  <c r="H103" i="28"/>
  <c r="D64" i="28"/>
  <c r="C100" i="28"/>
  <c r="D60" i="28"/>
  <c r="G97" i="28"/>
  <c r="E58" i="28"/>
  <c r="E95" i="28" s="1"/>
  <c r="B58" i="28"/>
  <c r="H57" i="28"/>
  <c r="H94" i="28" s="1"/>
  <c r="C57" i="28"/>
  <c r="D55" i="28"/>
  <c r="D92" i="28" s="1"/>
  <c r="F92" i="28"/>
  <c r="D53" i="28"/>
  <c r="D51" i="28"/>
  <c r="D88" i="28" s="1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E113" i="20" s="1"/>
  <c r="C76" i="20"/>
  <c r="B76" i="20"/>
  <c r="B113" i="20" s="1"/>
  <c r="H75" i="20"/>
  <c r="H112" i="20" s="1"/>
  <c r="G75" i="20"/>
  <c r="G112" i="20" s="1"/>
  <c r="F75" i="20"/>
  <c r="F112" i="20" s="1"/>
  <c r="E75" i="20"/>
  <c r="E112" i="20" s="1"/>
  <c r="C75" i="20"/>
  <c r="C112" i="20" s="1"/>
  <c r="B75" i="20"/>
  <c r="B112" i="20" s="1"/>
  <c r="H73" i="20"/>
  <c r="G73" i="20"/>
  <c r="G110" i="20" s="1"/>
  <c r="F73" i="20"/>
  <c r="F110" i="20" s="1"/>
  <c r="E73" i="20"/>
  <c r="C73" i="20"/>
  <c r="C110" i="20" s="1"/>
  <c r="B73" i="20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G107" i="20" s="1"/>
  <c r="F70" i="20"/>
  <c r="E70" i="20"/>
  <c r="C70" i="20"/>
  <c r="B70" i="20"/>
  <c r="H69" i="20"/>
  <c r="H106" i="20" s="1"/>
  <c r="G69" i="20"/>
  <c r="G106" i="20" s="1"/>
  <c r="F69" i="20"/>
  <c r="E69" i="20"/>
  <c r="C69" i="20"/>
  <c r="C106" i="20" s="1"/>
  <c r="B69" i="20"/>
  <c r="B106" i="20" s="1"/>
  <c r="H67" i="20"/>
  <c r="G67" i="20"/>
  <c r="F67" i="20"/>
  <c r="F104" i="20" s="1"/>
  <c r="E67" i="20"/>
  <c r="E104" i="20" s="1"/>
  <c r="C67" i="20"/>
  <c r="C104" i="20" s="1"/>
  <c r="B67" i="20"/>
  <c r="B104" i="20" s="1"/>
  <c r="H66" i="20"/>
  <c r="H103" i="20" s="1"/>
  <c r="G66" i="20"/>
  <c r="G103" i="20" s="1"/>
  <c r="F66" i="20"/>
  <c r="E66" i="20"/>
  <c r="E103" i="20" s="1"/>
  <c r="C66" i="20"/>
  <c r="B66" i="20"/>
  <c r="B103" i="20" s="1"/>
  <c r="H64" i="20"/>
  <c r="G64" i="20"/>
  <c r="F64" i="20"/>
  <c r="F101" i="20" s="1"/>
  <c r="E64" i="20"/>
  <c r="C64" i="20"/>
  <c r="B64" i="20"/>
  <c r="B101" i="20" s="1"/>
  <c r="H63" i="20"/>
  <c r="H100" i="20" s="1"/>
  <c r="G63" i="20"/>
  <c r="G100" i="20" s="1"/>
  <c r="F63" i="20"/>
  <c r="F100" i="20" s="1"/>
  <c r="E63" i="20"/>
  <c r="E100" i="20" s="1"/>
  <c r="C63" i="20"/>
  <c r="C100" i="20" s="1"/>
  <c r="B63" i="20"/>
  <c r="B100" i="20" s="1"/>
  <c r="H61" i="20"/>
  <c r="G61" i="20"/>
  <c r="G98" i="20" s="1"/>
  <c r="F61" i="20"/>
  <c r="F98" i="20" s="1"/>
  <c r="E61" i="20"/>
  <c r="C61" i="20"/>
  <c r="C98" i="20" s="1"/>
  <c r="B61" i="20"/>
  <c r="H60" i="20"/>
  <c r="G60" i="20"/>
  <c r="G97" i="20" s="1"/>
  <c r="F60" i="20"/>
  <c r="E60" i="20"/>
  <c r="C60" i="20"/>
  <c r="B60" i="20"/>
  <c r="B97" i="20" s="1"/>
  <c r="H55" i="20"/>
  <c r="H92" i="20" s="1"/>
  <c r="G55" i="20"/>
  <c r="G92" i="20" s="1"/>
  <c r="F55" i="20"/>
  <c r="F92" i="20" s="1"/>
  <c r="E55" i="20"/>
  <c r="E92" i="20" s="1"/>
  <c r="C55" i="20"/>
  <c r="B55" i="20"/>
  <c r="B92" i="20" s="1"/>
  <c r="H54" i="20"/>
  <c r="H91" i="20" s="1"/>
  <c r="G54" i="20"/>
  <c r="G91" i="20" s="1"/>
  <c r="F54" i="20"/>
  <c r="F91" i="20" s="1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E90" i="20" s="1"/>
  <c r="C53" i="20"/>
  <c r="C90" i="20" s="1"/>
  <c r="B53" i="20"/>
  <c r="B90" i="20" s="1"/>
  <c r="H51" i="20"/>
  <c r="G51" i="20"/>
  <c r="F51" i="20"/>
  <c r="E51" i="20"/>
  <c r="E88" i="20" s="1"/>
  <c r="C51" i="20"/>
  <c r="C88" i="20" s="1"/>
  <c r="B51" i="20"/>
  <c r="H50" i="20"/>
  <c r="G50" i="20"/>
  <c r="G87" i="20" s="1"/>
  <c r="F50" i="20"/>
  <c r="E50" i="20"/>
  <c r="E87" i="20" s="1"/>
  <c r="C50" i="20"/>
  <c r="B50" i="20"/>
  <c r="B87" i="20" s="1"/>
  <c r="D76" i="20"/>
  <c r="D75" i="20"/>
  <c r="D73" i="20"/>
  <c r="H110" i="20"/>
  <c r="D72" i="20"/>
  <c r="D109" i="20" s="1"/>
  <c r="D70" i="20"/>
  <c r="C107" i="20"/>
  <c r="D69" i="20"/>
  <c r="D106" i="20" s="1"/>
  <c r="D67" i="20"/>
  <c r="D66" i="20"/>
  <c r="F103" i="20"/>
  <c r="D64" i="20"/>
  <c r="H98" i="20"/>
  <c r="D60" i="20"/>
  <c r="F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C92" i="20"/>
  <c r="D54" i="20"/>
  <c r="D53" i="20"/>
  <c r="H90" i="20"/>
  <c r="D51" i="20"/>
  <c r="F88" i="20"/>
  <c r="D50" i="20"/>
  <c r="C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H113" i="6" s="1"/>
  <c r="G76" i="6"/>
  <c r="G113" i="6" s="1"/>
  <c r="F76" i="6"/>
  <c r="E76" i="6"/>
  <c r="E113" i="6" s="1"/>
  <c r="D76" i="6"/>
  <c r="C76" i="6"/>
  <c r="B76" i="6"/>
  <c r="H75" i="6"/>
  <c r="H112" i="6" s="1"/>
  <c r="G75" i="6"/>
  <c r="G112" i="6" s="1"/>
  <c r="F75" i="6"/>
  <c r="F112" i="6" s="1"/>
  <c r="E75" i="6"/>
  <c r="E112" i="6" s="1"/>
  <c r="C75" i="6"/>
  <c r="C112" i="6" s="1"/>
  <c r="B75" i="6"/>
  <c r="B112" i="6" s="1"/>
  <c r="H73" i="6"/>
  <c r="G73" i="6"/>
  <c r="F73" i="6"/>
  <c r="F110" i="6" s="1"/>
  <c r="E73" i="6"/>
  <c r="E110" i="6" s="1"/>
  <c r="D73" i="6"/>
  <c r="D110" i="6" s="1"/>
  <c r="C73" i="6"/>
  <c r="C110" i="6" s="1"/>
  <c r="B73" i="6"/>
  <c r="B110" i="6" s="1"/>
  <c r="H72" i="6"/>
  <c r="H109" i="6" s="1"/>
  <c r="G72" i="6"/>
  <c r="F72" i="6"/>
  <c r="F109" i="6" s="1"/>
  <c r="E72" i="6"/>
  <c r="E109" i="6" s="1"/>
  <c r="C72" i="6"/>
  <c r="C109" i="6" s="1"/>
  <c r="B72" i="6"/>
  <c r="B109" i="6" s="1"/>
  <c r="H70" i="6"/>
  <c r="H107" i="6" s="1"/>
  <c r="G70" i="6"/>
  <c r="G107" i="6" s="1"/>
  <c r="F70" i="6"/>
  <c r="E70" i="6"/>
  <c r="C70" i="6"/>
  <c r="B70" i="6"/>
  <c r="B107" i="6" s="1"/>
  <c r="H69" i="6"/>
  <c r="H106" i="6" s="1"/>
  <c r="G69" i="6"/>
  <c r="G106" i="6" s="1"/>
  <c r="F69" i="6"/>
  <c r="F106" i="6" s="1"/>
  <c r="E69" i="6"/>
  <c r="E106" i="6" s="1"/>
  <c r="C69" i="6"/>
  <c r="C106" i="6" s="1"/>
  <c r="B69" i="6"/>
  <c r="H67" i="6"/>
  <c r="H104" i="6" s="1"/>
  <c r="G67" i="6"/>
  <c r="F67" i="6"/>
  <c r="F104" i="6" s="1"/>
  <c r="E67" i="6"/>
  <c r="C67" i="6"/>
  <c r="C104" i="6" s="1"/>
  <c r="B67" i="6"/>
  <c r="H66" i="6"/>
  <c r="H103" i="6" s="1"/>
  <c r="G66" i="6"/>
  <c r="F66" i="6"/>
  <c r="E66" i="6"/>
  <c r="E103" i="6" s="1"/>
  <c r="C66" i="6"/>
  <c r="C103" i="6" s="1"/>
  <c r="B66" i="6"/>
  <c r="B103" i="6" s="1"/>
  <c r="H64" i="6"/>
  <c r="G64" i="6"/>
  <c r="G101" i="6" s="1"/>
  <c r="F64" i="6"/>
  <c r="F101" i="6" s="1"/>
  <c r="E64" i="6"/>
  <c r="D64" i="6"/>
  <c r="C64" i="6"/>
  <c r="C101" i="6" s="1"/>
  <c r="B64" i="6"/>
  <c r="B101" i="6" s="1"/>
  <c r="H63" i="6"/>
  <c r="H100" i="6" s="1"/>
  <c r="G63" i="6"/>
  <c r="G100" i="6" s="1"/>
  <c r="F63" i="6"/>
  <c r="E63" i="6"/>
  <c r="E100" i="6" s="1"/>
  <c r="C63" i="6"/>
  <c r="B63" i="6"/>
  <c r="B100" i="6" s="1"/>
  <c r="H61" i="6"/>
  <c r="G61" i="6"/>
  <c r="G98" i="6" s="1"/>
  <c r="F61" i="6"/>
  <c r="F98" i="6" s="1"/>
  <c r="E61" i="6"/>
  <c r="E98" i="6" s="1"/>
  <c r="C61" i="6"/>
  <c r="B61" i="6"/>
  <c r="H60" i="6"/>
  <c r="G60" i="6"/>
  <c r="F60" i="6"/>
  <c r="E60" i="6"/>
  <c r="E97" i="6" s="1"/>
  <c r="C60" i="6"/>
  <c r="C97" i="6" s="1"/>
  <c r="B60" i="6"/>
  <c r="B97" i="6" s="1"/>
  <c r="H55" i="6"/>
  <c r="H92" i="6" s="1"/>
  <c r="G55" i="6"/>
  <c r="G92" i="6" s="1"/>
  <c r="F55" i="6"/>
  <c r="E55" i="6"/>
  <c r="C55" i="6"/>
  <c r="C92" i="6" s="1"/>
  <c r="B55" i="6"/>
  <c r="B92" i="6" s="1"/>
  <c r="H54" i="6"/>
  <c r="H91" i="6" s="1"/>
  <c r="G54" i="6"/>
  <c r="G91" i="6" s="1"/>
  <c r="F54" i="6"/>
  <c r="F91" i="6" s="1"/>
  <c r="E54" i="6"/>
  <c r="E91" i="6" s="1"/>
  <c r="C54" i="6"/>
  <c r="B54" i="6"/>
  <c r="B91" i="6" s="1"/>
  <c r="H53" i="6"/>
  <c r="H90" i="6" s="1"/>
  <c r="G53" i="6"/>
  <c r="G90" i="6" s="1"/>
  <c r="F53" i="6"/>
  <c r="F90" i="6" s="1"/>
  <c r="E53" i="6"/>
  <c r="E90" i="6" s="1"/>
  <c r="C53" i="6"/>
  <c r="C90" i="6" s="1"/>
  <c r="B53" i="6"/>
  <c r="B90" i="6" s="1"/>
  <c r="H51" i="6"/>
  <c r="G51" i="6"/>
  <c r="F51" i="6"/>
  <c r="F88" i="6" s="1"/>
  <c r="E51" i="6"/>
  <c r="E88" i="6" s="1"/>
  <c r="C51" i="6"/>
  <c r="C88" i="6" s="1"/>
  <c r="B51" i="6"/>
  <c r="B88" i="6" s="1"/>
  <c r="H50" i="6"/>
  <c r="H87" i="6" s="1"/>
  <c r="G50" i="6"/>
  <c r="G87" i="6" s="1"/>
  <c r="F50" i="6"/>
  <c r="E50" i="6"/>
  <c r="E87" i="6" s="1"/>
  <c r="C50" i="6"/>
  <c r="C87" i="6" s="1"/>
  <c r="B50" i="6"/>
  <c r="B87" i="6" s="1"/>
  <c r="F113" i="6"/>
  <c r="C113" i="6"/>
  <c r="D75" i="6"/>
  <c r="H110" i="6"/>
  <c r="G110" i="6"/>
  <c r="D72" i="6"/>
  <c r="G109" i="6"/>
  <c r="D70" i="6"/>
  <c r="E107" i="6"/>
  <c r="D69" i="6"/>
  <c r="B106" i="6"/>
  <c r="D67" i="6"/>
  <c r="D66" i="6"/>
  <c r="G103" i="6"/>
  <c r="F103" i="6"/>
  <c r="E101" i="6"/>
  <c r="C100" i="6"/>
  <c r="D60" i="6"/>
  <c r="D97" i="6" s="1"/>
  <c r="H97" i="6"/>
  <c r="G97" i="6"/>
  <c r="H58" i="6"/>
  <c r="G58" i="6"/>
  <c r="E58" i="6"/>
  <c r="G57" i="6"/>
  <c r="C57" i="6"/>
  <c r="B57" i="6"/>
  <c r="D55" i="6"/>
  <c r="F92" i="6"/>
  <c r="E92" i="6"/>
  <c r="D54" i="6"/>
  <c r="C91" i="6"/>
  <c r="D53" i="6"/>
  <c r="D90" i="6" s="1"/>
  <c r="D51" i="6"/>
  <c r="H88" i="6"/>
  <c r="D50" i="6"/>
  <c r="F87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G113" i="2" s="1"/>
  <c r="F76" i="2"/>
  <c r="F113" i="2" s="1"/>
  <c r="E76" i="2"/>
  <c r="E113" i="2" s="1"/>
  <c r="C76" i="2"/>
  <c r="B76" i="2"/>
  <c r="H75" i="2"/>
  <c r="H112" i="2" s="1"/>
  <c r="G75" i="2"/>
  <c r="G112" i="2" s="1"/>
  <c r="F75" i="2"/>
  <c r="F112" i="2" s="1"/>
  <c r="E75" i="2"/>
  <c r="C75" i="2"/>
  <c r="C112" i="2" s="1"/>
  <c r="B75" i="2"/>
  <c r="B112" i="2" s="1"/>
  <c r="H73" i="2"/>
  <c r="G73" i="2"/>
  <c r="F73" i="2"/>
  <c r="E73" i="2"/>
  <c r="C73" i="2"/>
  <c r="C110" i="2" s="1"/>
  <c r="B73" i="2"/>
  <c r="H72" i="2"/>
  <c r="H109" i="2" s="1"/>
  <c r="G72" i="2"/>
  <c r="G109" i="2" s="1"/>
  <c r="F72" i="2"/>
  <c r="E72" i="2"/>
  <c r="C72" i="2"/>
  <c r="C109" i="2" s="1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C69" i="2"/>
  <c r="C106" i="2" s="1"/>
  <c r="B69" i="2"/>
  <c r="B106" i="2" s="1"/>
  <c r="H67" i="2"/>
  <c r="G67" i="2"/>
  <c r="F67" i="2"/>
  <c r="E67" i="2"/>
  <c r="E104" i="2" s="1"/>
  <c r="C67" i="2"/>
  <c r="C104" i="2" s="1"/>
  <c r="B67" i="2"/>
  <c r="H66" i="2"/>
  <c r="H103" i="2" s="1"/>
  <c r="G66" i="2"/>
  <c r="G103" i="2" s="1"/>
  <c r="F66" i="2"/>
  <c r="E66" i="2"/>
  <c r="E103" i="2" s="1"/>
  <c r="C66" i="2"/>
  <c r="B66" i="2"/>
  <c r="B103" i="2" s="1"/>
  <c r="H64" i="2"/>
  <c r="H101" i="2" s="1"/>
  <c r="G64" i="2"/>
  <c r="F64" i="2"/>
  <c r="E64" i="2"/>
  <c r="C64" i="2"/>
  <c r="B64" i="2"/>
  <c r="H63" i="2"/>
  <c r="H100" i="2" s="1"/>
  <c r="G63" i="2"/>
  <c r="G100" i="2" s="1"/>
  <c r="F63" i="2"/>
  <c r="F100" i="2" s="1"/>
  <c r="E63" i="2"/>
  <c r="E100" i="2" s="1"/>
  <c r="C63" i="2"/>
  <c r="C100" i="2" s="1"/>
  <c r="B63" i="2"/>
  <c r="B100" i="2" s="1"/>
  <c r="H61" i="2"/>
  <c r="G61" i="2"/>
  <c r="G98" i="2" s="1"/>
  <c r="F61" i="2"/>
  <c r="E61" i="2"/>
  <c r="E98" i="2" s="1"/>
  <c r="C61" i="2"/>
  <c r="B61" i="2"/>
  <c r="H60" i="2"/>
  <c r="H62" i="2" s="1"/>
  <c r="G60" i="2"/>
  <c r="G97" i="2" s="1"/>
  <c r="F60" i="2"/>
  <c r="E60" i="2"/>
  <c r="C60" i="2"/>
  <c r="C97" i="2" s="1"/>
  <c r="B60" i="2"/>
  <c r="B97" i="2" s="1"/>
  <c r="H55" i="2"/>
  <c r="H92" i="2" s="1"/>
  <c r="G55" i="2"/>
  <c r="G92" i="2" s="1"/>
  <c r="F55" i="2"/>
  <c r="F92" i="2" s="1"/>
  <c r="E55" i="2"/>
  <c r="C55" i="2"/>
  <c r="B55" i="2"/>
  <c r="H54" i="2"/>
  <c r="H91" i="2" s="1"/>
  <c r="G54" i="2"/>
  <c r="F54" i="2"/>
  <c r="F91" i="2" s="1"/>
  <c r="E54" i="2"/>
  <c r="C54" i="2"/>
  <c r="C91" i="2" s="1"/>
  <c r="B54" i="2"/>
  <c r="B91" i="2" s="1"/>
  <c r="H53" i="2"/>
  <c r="G53" i="2"/>
  <c r="F53" i="2"/>
  <c r="F90" i="2" s="1"/>
  <c r="E53" i="2"/>
  <c r="E90" i="2" s="1"/>
  <c r="C53" i="2"/>
  <c r="C90" i="2" s="1"/>
  <c r="B53" i="2"/>
  <c r="H51" i="2"/>
  <c r="H88" i="2" s="1"/>
  <c r="G51" i="2"/>
  <c r="F51" i="2"/>
  <c r="E51" i="2"/>
  <c r="C51" i="2"/>
  <c r="C88" i="2" s="1"/>
  <c r="B51" i="2"/>
  <c r="B88" i="2" s="1"/>
  <c r="H50" i="2"/>
  <c r="H87" i="2" s="1"/>
  <c r="G50" i="2"/>
  <c r="F50" i="2"/>
  <c r="F87" i="2" s="1"/>
  <c r="E50" i="2"/>
  <c r="E87" i="2" s="1"/>
  <c r="C50" i="2"/>
  <c r="B50" i="2"/>
  <c r="D76" i="2"/>
  <c r="C113" i="2"/>
  <c r="E112" i="2"/>
  <c r="D73" i="2"/>
  <c r="G110" i="2"/>
  <c r="B110" i="2"/>
  <c r="D72" i="2"/>
  <c r="F109" i="2"/>
  <c r="D70" i="2"/>
  <c r="G107" i="2"/>
  <c r="B107" i="2"/>
  <c r="D69" i="2"/>
  <c r="E106" i="2"/>
  <c r="D67" i="2"/>
  <c r="G104" i="2"/>
  <c r="D66" i="2"/>
  <c r="F103" i="2"/>
  <c r="D64" i="2"/>
  <c r="G101" i="2"/>
  <c r="C101" i="2"/>
  <c r="B101" i="2"/>
  <c r="H98" i="2"/>
  <c r="D60" i="2"/>
  <c r="F97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C92" i="2"/>
  <c r="B92" i="2"/>
  <c r="D54" i="2"/>
  <c r="G91" i="2"/>
  <c r="E91" i="2"/>
  <c r="D53" i="2"/>
  <c r="H90" i="2"/>
  <c r="G90" i="2"/>
  <c r="B90" i="2"/>
  <c r="D51" i="2"/>
  <c r="F88" i="2"/>
  <c r="E88" i="2"/>
  <c r="D50" i="2"/>
  <c r="G87" i="2"/>
  <c r="C87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G113" i="27" s="1"/>
  <c r="F76" i="27"/>
  <c r="F113" i="27" s="1"/>
  <c r="E76" i="27"/>
  <c r="E113" i="27" s="1"/>
  <c r="C76" i="27"/>
  <c r="B76" i="27"/>
  <c r="H75" i="27"/>
  <c r="H112" i="27" s="1"/>
  <c r="G75" i="27"/>
  <c r="F75" i="27"/>
  <c r="F112" i="27" s="1"/>
  <c r="E75" i="27"/>
  <c r="E112" i="27" s="1"/>
  <c r="C75" i="27"/>
  <c r="C112" i="27" s="1"/>
  <c r="B75" i="27"/>
  <c r="B112" i="27" s="1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G107" i="27" s="1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B106" i="27" s="1"/>
  <c r="H67" i="27"/>
  <c r="G67" i="27"/>
  <c r="F67" i="27"/>
  <c r="F104" i="27" s="1"/>
  <c r="E67" i="27"/>
  <c r="C67" i="27"/>
  <c r="C104" i="27" s="1"/>
  <c r="B67" i="27"/>
  <c r="B104" i="27" s="1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E100" i="27" s="1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B90" i="27" s="1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G112" i="27"/>
  <c r="D72" i="27"/>
  <c r="E106" i="27"/>
  <c r="D66" i="27"/>
  <c r="D64" i="27"/>
  <c r="F58" i="27"/>
  <c r="E58" i="27"/>
  <c r="E95" i="27" s="1"/>
  <c r="H57" i="27"/>
  <c r="H94" i="27" s="1"/>
  <c r="D55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G113" i="19" s="1"/>
  <c r="F76" i="19"/>
  <c r="E76" i="19"/>
  <c r="C76" i="19"/>
  <c r="B76" i="19"/>
  <c r="H75" i="19"/>
  <c r="G75" i="19"/>
  <c r="G112" i="19" s="1"/>
  <c r="F75" i="19"/>
  <c r="F112" i="19" s="1"/>
  <c r="E75" i="19"/>
  <c r="E112" i="19" s="1"/>
  <c r="C75" i="19"/>
  <c r="C112" i="19" s="1"/>
  <c r="B75" i="19"/>
  <c r="B112" i="19" s="1"/>
  <c r="H73" i="19"/>
  <c r="G73" i="19"/>
  <c r="G110" i="19" s="1"/>
  <c r="F73" i="19"/>
  <c r="F110" i="19" s="1"/>
  <c r="E73" i="19"/>
  <c r="D73" i="19"/>
  <c r="D110" i="19" s="1"/>
  <c r="C73" i="19"/>
  <c r="C110" i="19" s="1"/>
  <c r="B73" i="19"/>
  <c r="B110" i="19" s="1"/>
  <c r="H72" i="19"/>
  <c r="H109" i="19" s="1"/>
  <c r="G72" i="19"/>
  <c r="G109" i="19" s="1"/>
  <c r="F72" i="19"/>
  <c r="F109" i="19" s="1"/>
  <c r="E72" i="19"/>
  <c r="C72" i="19"/>
  <c r="C109" i="19" s="1"/>
  <c r="B72" i="19"/>
  <c r="B109" i="19" s="1"/>
  <c r="H70" i="19"/>
  <c r="H107" i="19" s="1"/>
  <c r="G70" i="19"/>
  <c r="F70" i="19"/>
  <c r="E70" i="19"/>
  <c r="E107" i="19" s="1"/>
  <c r="C70" i="19"/>
  <c r="B70" i="19"/>
  <c r="H69" i="19"/>
  <c r="H106" i="19" s="1"/>
  <c r="G69" i="19"/>
  <c r="G106" i="19" s="1"/>
  <c r="F69" i="19"/>
  <c r="F106" i="19" s="1"/>
  <c r="E69" i="19"/>
  <c r="E106" i="19" s="1"/>
  <c r="C69" i="19"/>
  <c r="C106" i="19" s="1"/>
  <c r="B69" i="19"/>
  <c r="B106" i="19" s="1"/>
  <c r="H67" i="19"/>
  <c r="H104" i="19" s="1"/>
  <c r="G67" i="19"/>
  <c r="G104" i="19" s="1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B103" i="19" s="1"/>
  <c r="H64" i="19"/>
  <c r="G64" i="19"/>
  <c r="F64" i="19"/>
  <c r="E64" i="19"/>
  <c r="E101" i="19" s="1"/>
  <c r="D64" i="19"/>
  <c r="C64" i="19"/>
  <c r="B64" i="19"/>
  <c r="H63" i="19"/>
  <c r="H100" i="19" s="1"/>
  <c r="G63" i="19"/>
  <c r="F63" i="19"/>
  <c r="F100" i="19" s="1"/>
  <c r="E63" i="19"/>
  <c r="E100" i="19" s="1"/>
  <c r="C63" i="19"/>
  <c r="C100" i="19" s="1"/>
  <c r="B63" i="19"/>
  <c r="H61" i="19"/>
  <c r="G61" i="19"/>
  <c r="G98" i="19" s="1"/>
  <c r="F61" i="19"/>
  <c r="F98" i="19" s="1"/>
  <c r="E61" i="19"/>
  <c r="D61" i="19"/>
  <c r="C61" i="19"/>
  <c r="B61" i="19"/>
  <c r="B98" i="19" s="1"/>
  <c r="H60" i="19"/>
  <c r="G60" i="19"/>
  <c r="G97" i="19" s="1"/>
  <c r="F60" i="19"/>
  <c r="E60" i="19"/>
  <c r="E97" i="19" s="1"/>
  <c r="C60" i="19"/>
  <c r="C97" i="19" s="1"/>
  <c r="B60" i="19"/>
  <c r="B97" i="19" s="1"/>
  <c r="H55" i="19"/>
  <c r="H92" i="19" s="1"/>
  <c r="G55" i="19"/>
  <c r="F55" i="19"/>
  <c r="F92" i="19" s="1"/>
  <c r="E55" i="19"/>
  <c r="E92" i="19" s="1"/>
  <c r="C55" i="19"/>
  <c r="C92" i="19" s="1"/>
  <c r="B55" i="19"/>
  <c r="B92" i="19" s="1"/>
  <c r="H54" i="19"/>
  <c r="H91" i="19" s="1"/>
  <c r="G54" i="19"/>
  <c r="G91" i="19" s="1"/>
  <c r="F54" i="19"/>
  <c r="F91" i="19" s="1"/>
  <c r="E54" i="19"/>
  <c r="E91" i="19" s="1"/>
  <c r="D54" i="19"/>
  <c r="C54" i="19"/>
  <c r="C91" i="19" s="1"/>
  <c r="B54" i="19"/>
  <c r="B91" i="19" s="1"/>
  <c r="H53" i="19"/>
  <c r="H90" i="19" s="1"/>
  <c r="G53" i="19"/>
  <c r="G90" i="19" s="1"/>
  <c r="F53" i="19"/>
  <c r="F90" i="19" s="1"/>
  <c r="E53" i="19"/>
  <c r="E90" i="19" s="1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F50" i="19"/>
  <c r="F87" i="19" s="1"/>
  <c r="E50" i="19"/>
  <c r="E87" i="19" s="1"/>
  <c r="C50" i="19"/>
  <c r="C87" i="19" s="1"/>
  <c r="B50" i="19"/>
  <c r="B87" i="19" s="1"/>
  <c r="D76" i="19"/>
  <c r="D75" i="19"/>
  <c r="D72" i="19"/>
  <c r="D69" i="19"/>
  <c r="D106" i="19" s="1"/>
  <c r="E66" i="19"/>
  <c r="D63" i="19"/>
  <c r="B100" i="19"/>
  <c r="D60" i="19"/>
  <c r="F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F88" i="19"/>
  <c r="D50" i="19"/>
  <c r="H46" i="19"/>
  <c r="G46" i="19"/>
  <c r="H93" i="12"/>
  <c r="G93" i="12"/>
  <c r="F93" i="12"/>
  <c r="E93" i="12"/>
  <c r="D93" i="12"/>
  <c r="C93" i="12"/>
  <c r="B93" i="12"/>
  <c r="H86" i="12"/>
  <c r="G86" i="12"/>
  <c r="F86" i="12"/>
  <c r="E86" i="12"/>
  <c r="D86" i="12"/>
  <c r="C86" i="12"/>
  <c r="B86" i="12"/>
  <c r="H76" i="12"/>
  <c r="G76" i="12"/>
  <c r="G113" i="12" s="1"/>
  <c r="F76" i="12"/>
  <c r="F113" i="12" s="1"/>
  <c r="E76" i="12"/>
  <c r="E113" i="12" s="1"/>
  <c r="D76" i="12"/>
  <c r="D113" i="12" s="1"/>
  <c r="C76" i="12"/>
  <c r="C113" i="12" s="1"/>
  <c r="B76" i="12"/>
  <c r="B113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3" i="12"/>
  <c r="H110" i="12" s="1"/>
  <c r="G73" i="12"/>
  <c r="G110" i="12" s="1"/>
  <c r="F73" i="12"/>
  <c r="F110" i="12" s="1"/>
  <c r="E73" i="12"/>
  <c r="E110" i="12" s="1"/>
  <c r="D73" i="12"/>
  <c r="D110" i="12" s="1"/>
  <c r="C73" i="12"/>
  <c r="C110" i="12" s="1"/>
  <c r="B73" i="12"/>
  <c r="B110" i="12" s="1"/>
  <c r="H72" i="12"/>
  <c r="H109" i="12" s="1"/>
  <c r="G72" i="12"/>
  <c r="G109" i="12" s="1"/>
  <c r="F72" i="12"/>
  <c r="F109" i="12" s="1"/>
  <c r="E72" i="12"/>
  <c r="D72" i="12"/>
  <c r="D109" i="12" s="1"/>
  <c r="C72" i="12"/>
  <c r="C109" i="12" s="1"/>
  <c r="B72" i="12"/>
  <c r="B109" i="12" s="1"/>
  <c r="H70" i="12"/>
  <c r="H107" i="12" s="1"/>
  <c r="G70" i="12"/>
  <c r="G107" i="12" s="1"/>
  <c r="F70" i="12"/>
  <c r="F107" i="12" s="1"/>
  <c r="E70" i="12"/>
  <c r="E107" i="12" s="1"/>
  <c r="D70" i="12"/>
  <c r="D107" i="12" s="1"/>
  <c r="C70" i="12"/>
  <c r="C107" i="12" s="1"/>
  <c r="B70" i="12"/>
  <c r="B107" i="12" s="1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H67" i="12"/>
  <c r="H104" i="12" s="1"/>
  <c r="G67" i="12"/>
  <c r="G104" i="12" s="1"/>
  <c r="F67" i="12"/>
  <c r="F104" i="12" s="1"/>
  <c r="E67" i="12"/>
  <c r="E104" i="12" s="1"/>
  <c r="D67" i="12"/>
  <c r="D104" i="12" s="1"/>
  <c r="C67" i="12"/>
  <c r="C104" i="12" s="1"/>
  <c r="B67" i="12"/>
  <c r="B104" i="12" s="1"/>
  <c r="H66" i="12"/>
  <c r="H103" i="12" s="1"/>
  <c r="G66" i="12"/>
  <c r="F66" i="12"/>
  <c r="F103" i="12" s="1"/>
  <c r="E66" i="12"/>
  <c r="E103" i="12" s="1"/>
  <c r="D66" i="12"/>
  <c r="D103" i="12" s="1"/>
  <c r="C66" i="12"/>
  <c r="C103" i="12" s="1"/>
  <c r="B66" i="12"/>
  <c r="B103" i="12" s="1"/>
  <c r="H64" i="12"/>
  <c r="H101" i="12" s="1"/>
  <c r="G64" i="12"/>
  <c r="G101" i="12" s="1"/>
  <c r="F64" i="12"/>
  <c r="F101" i="12" s="1"/>
  <c r="E64" i="12"/>
  <c r="E101" i="12" s="1"/>
  <c r="D64" i="12"/>
  <c r="D101" i="12" s="1"/>
  <c r="C64" i="12"/>
  <c r="C101" i="12" s="1"/>
  <c r="B64" i="12"/>
  <c r="B101" i="12" s="1"/>
  <c r="H63" i="12"/>
  <c r="H100" i="12" s="1"/>
  <c r="G63" i="12"/>
  <c r="G100" i="12" s="1"/>
  <c r="F63" i="12"/>
  <c r="F100" i="12" s="1"/>
  <c r="E63" i="12"/>
  <c r="E100" i="12" s="1"/>
  <c r="D63" i="12"/>
  <c r="C63" i="12"/>
  <c r="C100" i="12" s="1"/>
  <c r="B63" i="12"/>
  <c r="B100" i="12" s="1"/>
  <c r="H61" i="12"/>
  <c r="H98" i="12" s="1"/>
  <c r="G61" i="12"/>
  <c r="G98" i="12" s="1"/>
  <c r="F61" i="12"/>
  <c r="F98" i="12" s="1"/>
  <c r="E61" i="12"/>
  <c r="E98" i="12" s="1"/>
  <c r="D61" i="12"/>
  <c r="D98" i="12" s="1"/>
  <c r="C61" i="12"/>
  <c r="C98" i="12" s="1"/>
  <c r="B61" i="12"/>
  <c r="B98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8" i="12"/>
  <c r="H95" i="12" s="1"/>
  <c r="G58" i="12"/>
  <c r="G95" i="12" s="1"/>
  <c r="F58" i="12"/>
  <c r="F95" i="12" s="1"/>
  <c r="E58" i="12"/>
  <c r="E95" i="12" s="1"/>
  <c r="D58" i="12"/>
  <c r="D95" i="12" s="1"/>
  <c r="C58" i="12"/>
  <c r="C95" i="12" s="1"/>
  <c r="B58" i="12"/>
  <c r="B95" i="12" s="1"/>
  <c r="H57" i="12"/>
  <c r="H94" i="12" s="1"/>
  <c r="G57" i="12"/>
  <c r="G94" i="12" s="1"/>
  <c r="F57" i="12"/>
  <c r="E57" i="12"/>
  <c r="E94" i="12" s="1"/>
  <c r="D57" i="12"/>
  <c r="D94" i="12" s="1"/>
  <c r="C57" i="12"/>
  <c r="C94" i="12" s="1"/>
  <c r="B57" i="12"/>
  <c r="B94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D91" i="12" s="1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H88" i="12" s="1"/>
  <c r="G51" i="12"/>
  <c r="G88" i="12" s="1"/>
  <c r="F51" i="12"/>
  <c r="F88" i="12" s="1"/>
  <c r="E51" i="12"/>
  <c r="E88" i="12" s="1"/>
  <c r="D51" i="12"/>
  <c r="D88" i="12" s="1"/>
  <c r="C51" i="12"/>
  <c r="C88" i="12" s="1"/>
  <c r="B51" i="12"/>
  <c r="B88" i="12" s="1"/>
  <c r="H50" i="12"/>
  <c r="G50" i="12"/>
  <c r="G87" i="12" s="1"/>
  <c r="F50" i="12"/>
  <c r="F87" i="12" s="1"/>
  <c r="E50" i="12"/>
  <c r="E87" i="12" s="1"/>
  <c r="D50" i="12"/>
  <c r="D87" i="12" s="1"/>
  <c r="C50" i="12"/>
  <c r="C87" i="12" s="1"/>
  <c r="B50" i="12"/>
  <c r="B87" i="12" s="1"/>
  <c r="H47" i="12"/>
  <c r="H84" i="12" s="1"/>
  <c r="G47" i="12"/>
  <c r="G84" i="12" s="1"/>
  <c r="F47" i="12"/>
  <c r="F84" i="12" s="1"/>
  <c r="E47" i="12"/>
  <c r="E84" i="12" s="1"/>
  <c r="D47" i="12"/>
  <c r="D84" i="12" s="1"/>
  <c r="C47" i="12"/>
  <c r="B47" i="12"/>
  <c r="B84" i="12" s="1"/>
  <c r="H46" i="12"/>
  <c r="H83" i="12" s="1"/>
  <c r="G46" i="12"/>
  <c r="G83" i="12" s="1"/>
  <c r="F46" i="12"/>
  <c r="F83" i="12" s="1"/>
  <c r="E46" i="12"/>
  <c r="D46" i="12"/>
  <c r="D83" i="12" s="1"/>
  <c r="C46" i="12"/>
  <c r="C83" i="12" s="1"/>
  <c r="B46" i="12"/>
  <c r="B83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G75" i="21"/>
  <c r="G112" i="21" s="1"/>
  <c r="F75" i="21"/>
  <c r="F112" i="21" s="1"/>
  <c r="E75" i="21"/>
  <c r="E112" i="21" s="1"/>
  <c r="D75" i="21"/>
  <c r="C75" i="21"/>
  <c r="C112" i="21" s="1"/>
  <c r="B75" i="21"/>
  <c r="B112" i="21" s="1"/>
  <c r="H73" i="21"/>
  <c r="G73" i="21"/>
  <c r="F73" i="21"/>
  <c r="E73" i="21"/>
  <c r="E110" i="21" s="1"/>
  <c r="C73" i="21"/>
  <c r="C110" i="21" s="1"/>
  <c r="B73" i="21"/>
  <c r="H72" i="21"/>
  <c r="H109" i="21" s="1"/>
  <c r="G72" i="21"/>
  <c r="G109" i="21" s="1"/>
  <c r="F72" i="21"/>
  <c r="E72" i="21"/>
  <c r="D72" i="21"/>
  <c r="D109" i="21" s="1"/>
  <c r="C72" i="21"/>
  <c r="C109" i="21" s="1"/>
  <c r="B72" i="21"/>
  <c r="B109" i="21" s="1"/>
  <c r="H70" i="21"/>
  <c r="G70" i="21"/>
  <c r="G107" i="21" s="1"/>
  <c r="F70" i="21"/>
  <c r="E70" i="21"/>
  <c r="E107" i="21" s="1"/>
  <c r="C70" i="21"/>
  <c r="C107" i="21" s="1"/>
  <c r="B70" i="21"/>
  <c r="H69" i="21"/>
  <c r="H106" i="21" s="1"/>
  <c r="G69" i="21"/>
  <c r="G106" i="21" s="1"/>
  <c r="F69" i="21"/>
  <c r="E69" i="21"/>
  <c r="D69" i="21"/>
  <c r="C69" i="21"/>
  <c r="C106" i="21" s="1"/>
  <c r="B69" i="21"/>
  <c r="B106" i="21" s="1"/>
  <c r="H67" i="21"/>
  <c r="G67" i="21"/>
  <c r="F67" i="21"/>
  <c r="E67" i="21"/>
  <c r="C67" i="21"/>
  <c r="C104" i="21" s="1"/>
  <c r="B67" i="21"/>
  <c r="H66" i="21"/>
  <c r="H103" i="21" s="1"/>
  <c r="G66" i="21"/>
  <c r="G103" i="21" s="1"/>
  <c r="F66" i="21"/>
  <c r="E66" i="21"/>
  <c r="E103" i="21" s="1"/>
  <c r="C66" i="21"/>
  <c r="C103" i="21" s="1"/>
  <c r="B66" i="21"/>
  <c r="H64" i="21"/>
  <c r="H101" i="21" s="1"/>
  <c r="G64" i="21"/>
  <c r="G101" i="21" s="1"/>
  <c r="F64" i="21"/>
  <c r="F101" i="21" s="1"/>
  <c r="E64" i="21"/>
  <c r="C64" i="21"/>
  <c r="C101" i="21" s="1"/>
  <c r="B64" i="21"/>
  <c r="B101" i="21" s="1"/>
  <c r="H63" i="21"/>
  <c r="H100" i="21" s="1"/>
  <c r="G63" i="21"/>
  <c r="F63" i="21"/>
  <c r="F100" i="21" s="1"/>
  <c r="E63" i="21"/>
  <c r="E100" i="21" s="1"/>
  <c r="D63" i="21"/>
  <c r="D100" i="21" s="1"/>
  <c r="C63" i="21"/>
  <c r="C100" i="21" s="1"/>
  <c r="B63" i="21"/>
  <c r="B100" i="21" s="1"/>
  <c r="H61" i="21"/>
  <c r="H98" i="21" s="1"/>
  <c r="G61" i="21"/>
  <c r="G98" i="21" s="1"/>
  <c r="F61" i="21"/>
  <c r="F98" i="21" s="1"/>
  <c r="E61" i="21"/>
  <c r="E98" i="21" s="1"/>
  <c r="C61" i="21"/>
  <c r="B61" i="21"/>
  <c r="B98" i="21" s="1"/>
  <c r="H60" i="21"/>
  <c r="H97" i="21" s="1"/>
  <c r="G60" i="21"/>
  <c r="F60" i="21"/>
  <c r="F97" i="21" s="1"/>
  <c r="E60" i="21"/>
  <c r="E97" i="21" s="1"/>
  <c r="C60" i="21"/>
  <c r="B60" i="21"/>
  <c r="B97" i="21" s="1"/>
  <c r="H55" i="21"/>
  <c r="H92" i="21" s="1"/>
  <c r="G55" i="21"/>
  <c r="G92" i="21" s="1"/>
  <c r="F55" i="21"/>
  <c r="F92" i="21" s="1"/>
  <c r="E55" i="21"/>
  <c r="E92" i="21" s="1"/>
  <c r="C55" i="21"/>
  <c r="C92" i="21" s="1"/>
  <c r="B55" i="21"/>
  <c r="B92" i="21" s="1"/>
  <c r="H54" i="21"/>
  <c r="G54" i="21"/>
  <c r="G91" i="21" s="1"/>
  <c r="F54" i="21"/>
  <c r="E54" i="21"/>
  <c r="E91" i="21" s="1"/>
  <c r="C54" i="21"/>
  <c r="C91" i="21" s="1"/>
  <c r="B54" i="21"/>
  <c r="B91" i="21" s="1"/>
  <c r="H53" i="21"/>
  <c r="H90" i="21" s="1"/>
  <c r="G53" i="21"/>
  <c r="G90" i="21" s="1"/>
  <c r="F53" i="21"/>
  <c r="E53" i="21"/>
  <c r="E90" i="21" s="1"/>
  <c r="C53" i="21"/>
  <c r="C90" i="21" s="1"/>
  <c r="B53" i="21"/>
  <c r="B90" i="21" s="1"/>
  <c r="H51" i="21"/>
  <c r="G51" i="21"/>
  <c r="G88" i="21" s="1"/>
  <c r="F51" i="21"/>
  <c r="F88" i="21" s="1"/>
  <c r="E51" i="21"/>
  <c r="E88" i="21" s="1"/>
  <c r="C51" i="21"/>
  <c r="B51" i="21"/>
  <c r="H50" i="21"/>
  <c r="H87" i="21" s="1"/>
  <c r="G50" i="21"/>
  <c r="G87" i="21" s="1"/>
  <c r="F50" i="21"/>
  <c r="F87" i="21" s="1"/>
  <c r="E50" i="21"/>
  <c r="E87" i="21" s="1"/>
  <c r="C50" i="21"/>
  <c r="C87" i="21" s="1"/>
  <c r="B50" i="21"/>
  <c r="B87" i="21" s="1"/>
  <c r="D76" i="21"/>
  <c r="D77" i="21" s="1"/>
  <c r="D73" i="21"/>
  <c r="B110" i="21"/>
  <c r="D70" i="21"/>
  <c r="H107" i="21"/>
  <c r="F106" i="21"/>
  <c r="E106" i="21"/>
  <c r="D67" i="21"/>
  <c r="H104" i="21"/>
  <c r="E104" i="21"/>
  <c r="D66" i="21"/>
  <c r="B103" i="21"/>
  <c r="D64" i="21"/>
  <c r="G100" i="21"/>
  <c r="D60" i="21"/>
  <c r="G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D54" i="21"/>
  <c r="H91" i="21"/>
  <c r="D53" i="21"/>
  <c r="F90" i="21"/>
  <c r="D51" i="21"/>
  <c r="D50" i="21"/>
  <c r="D87" i="21" s="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C72" i="10"/>
  <c r="C109" i="10" s="1"/>
  <c r="B72" i="10"/>
  <c r="B109" i="10" s="1"/>
  <c r="H70" i="10"/>
  <c r="H107" i="10" s="1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G103" i="10" s="1"/>
  <c r="F66" i="10"/>
  <c r="F103" i="10" s="1"/>
  <c r="E66" i="10"/>
  <c r="E103" i="10" s="1"/>
  <c r="C66" i="10"/>
  <c r="C103" i="10" s="1"/>
  <c r="B66" i="10"/>
  <c r="B103" i="10" s="1"/>
  <c r="H64" i="10"/>
  <c r="H101" i="10" s="1"/>
  <c r="G64" i="10"/>
  <c r="G65" i="10" s="1"/>
  <c r="F64" i="10"/>
  <c r="E64" i="10"/>
  <c r="C64" i="10"/>
  <c r="C101" i="10" s="1"/>
  <c r="B64" i="10"/>
  <c r="B101" i="10" s="1"/>
  <c r="H63" i="10"/>
  <c r="H100" i="10" s="1"/>
  <c r="G63" i="10"/>
  <c r="G100" i="10" s="1"/>
  <c r="F63" i="10"/>
  <c r="F100" i="10" s="1"/>
  <c r="E63" i="10"/>
  <c r="C63" i="10"/>
  <c r="C100" i="10" s="1"/>
  <c r="B63" i="10"/>
  <c r="B100" i="10" s="1"/>
  <c r="H61" i="10"/>
  <c r="H98" i="10" s="1"/>
  <c r="G61" i="10"/>
  <c r="F61" i="10"/>
  <c r="F98" i="10" s="1"/>
  <c r="E61" i="10"/>
  <c r="C61" i="10"/>
  <c r="B61" i="10"/>
  <c r="B98" i="10" s="1"/>
  <c r="H60" i="10"/>
  <c r="H97" i="10" s="1"/>
  <c r="G60" i="10"/>
  <c r="G97" i="10" s="1"/>
  <c r="F60" i="10"/>
  <c r="F97" i="10" s="1"/>
  <c r="E60" i="10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C92" i="10" s="1"/>
  <c r="B55" i="10"/>
  <c r="B92" i="10" s="1"/>
  <c r="H54" i="10"/>
  <c r="H91" i="10" s="1"/>
  <c r="G54" i="10"/>
  <c r="G91" i="10" s="1"/>
  <c r="F54" i="10"/>
  <c r="F91" i="10" s="1"/>
  <c r="E54" i="10"/>
  <c r="E91" i="10" s="1"/>
  <c r="C54" i="10"/>
  <c r="C91" i="10" s="1"/>
  <c r="B54" i="10"/>
  <c r="B91" i="10" s="1"/>
  <c r="H53" i="10"/>
  <c r="H90" i="10" s="1"/>
  <c r="G53" i="10"/>
  <c r="G90" i="10" s="1"/>
  <c r="F53" i="10"/>
  <c r="F90" i="10" s="1"/>
  <c r="E53" i="10"/>
  <c r="C53" i="10"/>
  <c r="C90" i="10" s="1"/>
  <c r="B53" i="10"/>
  <c r="B90" i="10" s="1"/>
  <c r="H51" i="10"/>
  <c r="H88" i="10" s="1"/>
  <c r="G51" i="10"/>
  <c r="G88" i="10" s="1"/>
  <c r="F51" i="10"/>
  <c r="F88" i="10" s="1"/>
  <c r="E51" i="10"/>
  <c r="E88" i="10" s="1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D70" i="10"/>
  <c r="D69" i="10"/>
  <c r="D67" i="10"/>
  <c r="E104" i="10"/>
  <c r="C104" i="10"/>
  <c r="D66" i="10"/>
  <c r="D64" i="10"/>
  <c r="D63" i="10"/>
  <c r="D61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D54" i="10"/>
  <c r="D91" i="10" s="1"/>
  <c r="D53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H112" i="3" s="1"/>
  <c r="G75" i="3"/>
  <c r="G112" i="3" s="1"/>
  <c r="F75" i="3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H109" i="3" s="1"/>
  <c r="G72" i="3"/>
  <c r="G109" i="3" s="1"/>
  <c r="F72" i="3"/>
  <c r="F109" i="3" s="1"/>
  <c r="E72" i="3"/>
  <c r="C72" i="3"/>
  <c r="C109" i="3" s="1"/>
  <c r="B72" i="3"/>
  <c r="B109" i="3" s="1"/>
  <c r="H70" i="3"/>
  <c r="G70" i="3"/>
  <c r="G107" i="3" s="1"/>
  <c r="F70" i="3"/>
  <c r="F107" i="3" s="1"/>
  <c r="E70" i="3"/>
  <c r="E107" i="3" s="1"/>
  <c r="D70" i="3"/>
  <c r="D107" i="3" s="1"/>
  <c r="C70" i="3"/>
  <c r="B70" i="3"/>
  <c r="H69" i="3"/>
  <c r="H106" i="3" s="1"/>
  <c r="G69" i="3"/>
  <c r="F69" i="3"/>
  <c r="F106" i="3" s="1"/>
  <c r="E69" i="3"/>
  <c r="E106" i="3" s="1"/>
  <c r="C69" i="3"/>
  <c r="C106" i="3" s="1"/>
  <c r="B69" i="3"/>
  <c r="B106" i="3" s="1"/>
  <c r="H67" i="3"/>
  <c r="G67" i="3"/>
  <c r="F67" i="3"/>
  <c r="F104" i="3" s="1"/>
  <c r="E67" i="3"/>
  <c r="C67" i="3"/>
  <c r="C104" i="3" s="1"/>
  <c r="B67" i="3"/>
  <c r="B104" i="3" s="1"/>
  <c r="H66" i="3"/>
  <c r="H103" i="3" s="1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F63" i="3"/>
  <c r="F100" i="3" s="1"/>
  <c r="E63" i="3"/>
  <c r="E100" i="3" s="1"/>
  <c r="C63" i="3"/>
  <c r="C100" i="3" s="1"/>
  <c r="B63" i="3"/>
  <c r="B100" i="3" s="1"/>
  <c r="H61" i="3"/>
  <c r="G61" i="3"/>
  <c r="F61" i="3"/>
  <c r="F98" i="3" s="1"/>
  <c r="E61" i="3"/>
  <c r="C61" i="3"/>
  <c r="C98" i="3" s="1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F54" i="3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E50" i="3"/>
  <c r="E87" i="3" s="1"/>
  <c r="D50" i="3"/>
  <c r="D87" i="3" s="1"/>
  <c r="C50" i="3"/>
  <c r="B50" i="3"/>
  <c r="B87" i="3" s="1"/>
  <c r="D76" i="3"/>
  <c r="G113" i="3"/>
  <c r="F112" i="3"/>
  <c r="D73" i="3"/>
  <c r="E109" i="3"/>
  <c r="H107" i="3"/>
  <c r="C107" i="3"/>
  <c r="D69" i="3"/>
  <c r="G106" i="3"/>
  <c r="D67" i="3"/>
  <c r="H104" i="3"/>
  <c r="E104" i="3"/>
  <c r="D66" i="3"/>
  <c r="F103" i="3"/>
  <c r="B103" i="3"/>
  <c r="C101" i="3"/>
  <c r="G100" i="3"/>
  <c r="H98" i="3"/>
  <c r="E98" i="3"/>
  <c r="D60" i="3"/>
  <c r="D97" i="3" s="1"/>
  <c r="F97" i="3"/>
  <c r="B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G91" i="3"/>
  <c r="F91" i="3"/>
  <c r="H90" i="3"/>
  <c r="C88" i="3"/>
  <c r="F87" i="3"/>
  <c r="C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F107" i="9" s="1"/>
  <c r="E70" i="9"/>
  <c r="E107" i="9" s="1"/>
  <c r="D70" i="9"/>
  <c r="D107" i="9" s="1"/>
  <c r="C70" i="9"/>
  <c r="C107" i="9" s="1"/>
  <c r="B70" i="9"/>
  <c r="B107" i="9" s="1"/>
  <c r="H69" i="9"/>
  <c r="H106" i="9" s="1"/>
  <c r="G69" i="9"/>
  <c r="G106" i="9" s="1"/>
  <c r="F69" i="9"/>
  <c r="F106" i="9" s="1"/>
  <c r="E69" i="9"/>
  <c r="E106" i="9" s="1"/>
  <c r="C69" i="9"/>
  <c r="B69" i="9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H91" i="9" s="1"/>
  <c r="G54" i="9"/>
  <c r="G91" i="9" s="1"/>
  <c r="F54" i="9"/>
  <c r="F91" i="9" s="1"/>
  <c r="E54" i="9"/>
  <c r="E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F51" i="9"/>
  <c r="E51" i="9"/>
  <c r="C51" i="9"/>
  <c r="C88" i="9" s="1"/>
  <c r="B51" i="9"/>
  <c r="F75" i="9"/>
  <c r="E75" i="9"/>
  <c r="C75" i="9"/>
  <c r="B72" i="9"/>
  <c r="H72" i="9"/>
  <c r="G72" i="9"/>
  <c r="F72" i="9"/>
  <c r="C72" i="9"/>
  <c r="H107" i="9"/>
  <c r="D69" i="9"/>
  <c r="D106" i="9" s="1"/>
  <c r="C106" i="9"/>
  <c r="F66" i="9"/>
  <c r="B66" i="9"/>
  <c r="H63" i="9"/>
  <c r="C63" i="9"/>
  <c r="G60" i="9"/>
  <c r="F60" i="9"/>
  <c r="C60" i="9"/>
  <c r="F58" i="9"/>
  <c r="D54" i="9"/>
  <c r="D91" i="9" s="1"/>
  <c r="G88" i="9"/>
  <c r="G50" i="9"/>
  <c r="F50" i="9"/>
  <c r="F87" i="9" s="1"/>
  <c r="C50" i="9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E113" i="7" s="1"/>
  <c r="C76" i="7"/>
  <c r="C113" i="7" s="1"/>
  <c r="B76" i="7"/>
  <c r="H75" i="7"/>
  <c r="G75" i="7"/>
  <c r="G112" i="7" s="1"/>
  <c r="F75" i="7"/>
  <c r="F112" i="7" s="1"/>
  <c r="E75" i="7"/>
  <c r="E112" i="7" s="1"/>
  <c r="C75" i="7"/>
  <c r="C112" i="7" s="1"/>
  <c r="B75" i="7"/>
  <c r="B112" i="7" s="1"/>
  <c r="H73" i="7"/>
  <c r="H110" i="7" s="1"/>
  <c r="G73" i="7"/>
  <c r="G110" i="7" s="1"/>
  <c r="F73" i="7"/>
  <c r="E73" i="7"/>
  <c r="E110" i="7" s="1"/>
  <c r="C73" i="7"/>
  <c r="C110" i="7" s="1"/>
  <c r="B73" i="7"/>
  <c r="B110" i="7" s="1"/>
  <c r="H72" i="7"/>
  <c r="H109" i="7" s="1"/>
  <c r="G72" i="7"/>
  <c r="G109" i="7" s="1"/>
  <c r="F72" i="7"/>
  <c r="F109" i="7" s="1"/>
  <c r="E72" i="7"/>
  <c r="C72" i="7"/>
  <c r="C109" i="7" s="1"/>
  <c r="B72" i="7"/>
  <c r="B109" i="7" s="1"/>
  <c r="H70" i="7"/>
  <c r="H107" i="7" s="1"/>
  <c r="G70" i="7"/>
  <c r="F70" i="7"/>
  <c r="E70" i="7"/>
  <c r="C70" i="7"/>
  <c r="C107" i="7" s="1"/>
  <c r="B70" i="7"/>
  <c r="H69" i="7"/>
  <c r="H106" i="7" s="1"/>
  <c r="G69" i="7"/>
  <c r="G106" i="7" s="1"/>
  <c r="F69" i="7"/>
  <c r="E69" i="7"/>
  <c r="C69" i="7"/>
  <c r="C106" i="7" s="1"/>
  <c r="B69" i="7"/>
  <c r="B106" i="7" s="1"/>
  <c r="H67" i="7"/>
  <c r="G67" i="7"/>
  <c r="F67" i="7"/>
  <c r="F104" i="7" s="1"/>
  <c r="E67" i="7"/>
  <c r="E104" i="7" s="1"/>
  <c r="C67" i="7"/>
  <c r="C104" i="7" s="1"/>
  <c r="B67" i="7"/>
  <c r="H66" i="7"/>
  <c r="H103" i="7" s="1"/>
  <c r="G66" i="7"/>
  <c r="G103" i="7" s="1"/>
  <c r="F66" i="7"/>
  <c r="F103" i="7" s="1"/>
  <c r="E66" i="7"/>
  <c r="E103" i="7" s="1"/>
  <c r="C66" i="7"/>
  <c r="C103" i="7" s="1"/>
  <c r="B66" i="7"/>
  <c r="B103" i="7" s="1"/>
  <c r="H64" i="7"/>
  <c r="G64" i="7"/>
  <c r="F64" i="7"/>
  <c r="F101" i="7" s="1"/>
  <c r="E64" i="7"/>
  <c r="E101" i="7" s="1"/>
  <c r="C64" i="7"/>
  <c r="C101" i="7" s="1"/>
  <c r="B64" i="7"/>
  <c r="B101" i="7" s="1"/>
  <c r="H63" i="7"/>
  <c r="H100" i="7" s="1"/>
  <c r="G63" i="7"/>
  <c r="G100" i="7" s="1"/>
  <c r="F63" i="7"/>
  <c r="E63" i="7"/>
  <c r="E100" i="7" s="1"/>
  <c r="C63" i="7"/>
  <c r="C100" i="7" s="1"/>
  <c r="B63" i="7"/>
  <c r="B100" i="7" s="1"/>
  <c r="H61" i="7"/>
  <c r="G61" i="7"/>
  <c r="F61" i="7"/>
  <c r="F98" i="7" s="1"/>
  <c r="E61" i="7"/>
  <c r="C61" i="7"/>
  <c r="C98" i="7" s="1"/>
  <c r="B61" i="7"/>
  <c r="H60" i="7"/>
  <c r="G60" i="7"/>
  <c r="G97" i="7" s="1"/>
  <c r="F60" i="7"/>
  <c r="F97" i="7" s="1"/>
  <c r="E60" i="7"/>
  <c r="E97" i="7" s="1"/>
  <c r="C60" i="7"/>
  <c r="B60" i="7"/>
  <c r="B97" i="7" s="1"/>
  <c r="H55" i="7"/>
  <c r="H92" i="7" s="1"/>
  <c r="G55" i="7"/>
  <c r="G92" i="7" s="1"/>
  <c r="F55" i="7"/>
  <c r="F92" i="7" s="1"/>
  <c r="E55" i="7"/>
  <c r="E92" i="7" s="1"/>
  <c r="C55" i="7"/>
  <c r="C92" i="7" s="1"/>
  <c r="B55" i="7"/>
  <c r="B92" i="7" s="1"/>
  <c r="H54" i="7"/>
  <c r="H91" i="7" s="1"/>
  <c r="G54" i="7"/>
  <c r="G91" i="7" s="1"/>
  <c r="F54" i="7"/>
  <c r="F91" i="7" s="1"/>
  <c r="E54" i="7"/>
  <c r="C54" i="7"/>
  <c r="C91" i="7" s="1"/>
  <c r="B54" i="7"/>
  <c r="B91" i="7" s="1"/>
  <c r="H53" i="7"/>
  <c r="H90" i="7" s="1"/>
  <c r="G53" i="7"/>
  <c r="G90" i="7" s="1"/>
  <c r="F53" i="7"/>
  <c r="F90" i="7" s="1"/>
  <c r="E53" i="7"/>
  <c r="E90" i="7" s="1"/>
  <c r="C53" i="7"/>
  <c r="C90" i="7" s="1"/>
  <c r="B53" i="7"/>
  <c r="B90" i="7" s="1"/>
  <c r="H51" i="7"/>
  <c r="H88" i="7" s="1"/>
  <c r="G51" i="7"/>
  <c r="G88" i="7" s="1"/>
  <c r="F51" i="7"/>
  <c r="E51" i="7"/>
  <c r="E88" i="7" s="1"/>
  <c r="C51" i="7"/>
  <c r="C88" i="7" s="1"/>
  <c r="B51" i="7"/>
  <c r="H50" i="7"/>
  <c r="G50" i="7"/>
  <c r="F50" i="7"/>
  <c r="F87" i="7" s="1"/>
  <c r="E50" i="7"/>
  <c r="E87" i="7" s="1"/>
  <c r="C50" i="7"/>
  <c r="B50" i="7"/>
  <c r="B87" i="7" s="1"/>
  <c r="D76" i="7"/>
  <c r="D73" i="7"/>
  <c r="D72" i="7"/>
  <c r="D70" i="7"/>
  <c r="D69" i="7"/>
  <c r="D106" i="7" s="1"/>
  <c r="D67" i="7"/>
  <c r="D66" i="7"/>
  <c r="D64" i="7"/>
  <c r="G98" i="7"/>
  <c r="D60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D54" i="7"/>
  <c r="D53" i="7"/>
  <c r="D90" i="7" s="1"/>
  <c r="D51" i="7"/>
  <c r="H47" i="7"/>
  <c r="G47" i="7"/>
  <c r="G46" i="7"/>
  <c r="F46" i="7"/>
  <c r="C46" i="7"/>
  <c r="E52" i="13" l="1"/>
  <c r="E89" i="13" s="1"/>
  <c r="G52" i="7"/>
  <c r="G89" i="7" s="1"/>
  <c r="E62" i="10"/>
  <c r="E74" i="10"/>
  <c r="E62" i="20"/>
  <c r="E99" i="20" s="1"/>
  <c r="B62" i="20"/>
  <c r="B99" i="20" s="1"/>
  <c r="B74" i="20"/>
  <c r="B111" i="20" s="1"/>
  <c r="D65" i="21"/>
  <c r="B68" i="9"/>
  <c r="C52" i="7"/>
  <c r="C89" i="7" s="1"/>
  <c r="D74" i="21"/>
  <c r="H52" i="8"/>
  <c r="H89" i="8" s="1"/>
  <c r="B62" i="7"/>
  <c r="B99" i="7" s="1"/>
  <c r="G65" i="7"/>
  <c r="G102" i="7" s="1"/>
  <c r="B68" i="7"/>
  <c r="B105" i="7" s="1"/>
  <c r="F68" i="21"/>
  <c r="F105" i="21" s="1"/>
  <c r="B48" i="8"/>
  <c r="H77" i="10"/>
  <c r="C65" i="21"/>
  <c r="B71" i="21"/>
  <c r="B108" i="21" s="1"/>
  <c r="G52" i="19"/>
  <c r="G89" i="19" s="1"/>
  <c r="B71" i="9"/>
  <c r="B108" i="9" s="1"/>
  <c r="C65" i="19"/>
  <c r="F62" i="6"/>
  <c r="F99" i="6" s="1"/>
  <c r="C52" i="9"/>
  <c r="G68" i="21"/>
  <c r="E74" i="21"/>
  <c r="E111" i="21" s="1"/>
  <c r="H77" i="21"/>
  <c r="H114" i="21" s="1"/>
  <c r="G71" i="19"/>
  <c r="G108" i="19" s="1"/>
  <c r="E52" i="6"/>
  <c r="E89" i="6" s="1"/>
  <c r="D74" i="19"/>
  <c r="C62" i="6"/>
  <c r="C99" i="6" s="1"/>
  <c r="B68" i="6"/>
  <c r="B105" i="6" s="1"/>
  <c r="H65" i="19"/>
  <c r="H102" i="19" s="1"/>
  <c r="H77" i="19"/>
  <c r="H114" i="19" s="1"/>
  <c r="D74" i="6"/>
  <c r="D111" i="6" s="1"/>
  <c r="F68" i="2"/>
  <c r="H112" i="19"/>
  <c r="F52" i="7"/>
  <c r="F89" i="7" s="1"/>
  <c r="H62" i="7"/>
  <c r="H99" i="7" s="1"/>
  <c r="G71" i="7"/>
  <c r="G108" i="7" s="1"/>
  <c r="E74" i="5"/>
  <c r="E111" i="5" s="1"/>
  <c r="D74" i="5"/>
  <c r="D111" i="5" s="1"/>
  <c r="G74" i="5"/>
  <c r="G111" i="5" s="1"/>
  <c r="H62" i="6"/>
  <c r="H99" i="6" s="1"/>
  <c r="G68" i="6"/>
  <c r="G105" i="6" s="1"/>
  <c r="B71" i="6"/>
  <c r="B108" i="6" s="1"/>
  <c r="D71" i="21"/>
  <c r="G74" i="21"/>
  <c r="G111" i="21" s="1"/>
  <c r="F59" i="14"/>
  <c r="F96" i="14" s="1"/>
  <c r="H68" i="7"/>
  <c r="H105" i="7" s="1"/>
  <c r="E68" i="19"/>
  <c r="E105" i="19" s="1"/>
  <c r="D77" i="6"/>
  <c r="H97" i="2"/>
  <c r="D65" i="13"/>
  <c r="G52" i="13"/>
  <c r="G65" i="13"/>
  <c r="G102" i="13" s="1"/>
  <c r="E71" i="13"/>
  <c r="E108" i="13" s="1"/>
  <c r="E62" i="13"/>
  <c r="E99" i="13" s="1"/>
  <c r="H65" i="13"/>
  <c r="H102" i="13" s="1"/>
  <c r="F71" i="13"/>
  <c r="F108" i="13" s="1"/>
  <c r="C68" i="28"/>
  <c r="H77" i="28"/>
  <c r="H114" i="28" s="1"/>
  <c r="E65" i="3"/>
  <c r="E102" i="3" s="1"/>
  <c r="B52" i="5"/>
  <c r="B89" i="5" s="1"/>
  <c r="G65" i="5"/>
  <c r="G102" i="5" s="1"/>
  <c r="B68" i="5"/>
  <c r="B105" i="5" s="1"/>
  <c r="E74" i="28"/>
  <c r="E111" i="28" s="1"/>
  <c r="F71" i="8"/>
  <c r="F108" i="8" s="1"/>
  <c r="H62" i="20"/>
  <c r="H99" i="20" s="1"/>
  <c r="C52" i="20"/>
  <c r="H65" i="20"/>
  <c r="H102" i="20" s="1"/>
  <c r="E65" i="20"/>
  <c r="E102" i="20" s="1"/>
  <c r="B71" i="20"/>
  <c r="B108" i="20" s="1"/>
  <c r="G65" i="20"/>
  <c r="G102" i="20" s="1"/>
  <c r="C98" i="6"/>
  <c r="F88" i="7"/>
  <c r="F71" i="7"/>
  <c r="F108" i="7" s="1"/>
  <c r="C87" i="7"/>
  <c r="H104" i="7"/>
  <c r="C65" i="9"/>
  <c r="C77" i="9"/>
  <c r="H74" i="9"/>
  <c r="G107" i="19"/>
  <c r="D65" i="19"/>
  <c r="B65" i="19"/>
  <c r="B102" i="19" s="1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H105" i="3" s="1"/>
  <c r="F52" i="19"/>
  <c r="F89" i="19" s="1"/>
  <c r="D62" i="19"/>
  <c r="C74" i="19"/>
  <c r="C111" i="19" s="1"/>
  <c r="H62" i="13"/>
  <c r="H99" i="13" s="1"/>
  <c r="F68" i="13"/>
  <c r="F105" i="13" s="1"/>
  <c r="H68" i="13"/>
  <c r="H105" i="13" s="1"/>
  <c r="H98" i="13"/>
  <c r="D62" i="13"/>
  <c r="G77" i="13"/>
  <c r="G114" i="13" s="1"/>
  <c r="C65" i="13"/>
  <c r="H104" i="13"/>
  <c r="H74" i="13"/>
  <c r="H111" i="13" s="1"/>
  <c r="F74" i="6"/>
  <c r="F111" i="6" s="1"/>
  <c r="F71" i="20"/>
  <c r="F108" i="20" s="1"/>
  <c r="C59" i="20"/>
  <c r="H68" i="20"/>
  <c r="H105" i="20" s="1"/>
  <c r="H74" i="20"/>
  <c r="H111" i="20" s="1"/>
  <c r="E71" i="20"/>
  <c r="E108" i="20" s="1"/>
  <c r="F65" i="20"/>
  <c r="F102" i="20" s="1"/>
  <c r="H52" i="20"/>
  <c r="H89" i="20" s="1"/>
  <c r="D68" i="8"/>
  <c r="B52" i="8"/>
  <c r="B89" i="8" s="1"/>
  <c r="H65" i="8"/>
  <c r="H102" i="8" s="1"/>
  <c r="C59" i="8"/>
  <c r="H62" i="8"/>
  <c r="H99" i="8" s="1"/>
  <c r="C65" i="8"/>
  <c r="C102" i="8" s="1"/>
  <c r="H68" i="8"/>
  <c r="H105" i="8" s="1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G111" i="11" s="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H114" i="13" s="1"/>
  <c r="E97" i="13"/>
  <c r="H100" i="13"/>
  <c r="B71" i="13"/>
  <c r="B108" i="13" s="1"/>
  <c r="B68" i="13"/>
  <c r="B105" i="13" s="1"/>
  <c r="C77" i="13"/>
  <c r="C114" i="13" s="1"/>
  <c r="C52" i="28"/>
  <c r="C89" i="28" s="1"/>
  <c r="H62" i="28"/>
  <c r="H99" i="28" s="1"/>
  <c r="C65" i="28"/>
  <c r="C102" i="28" s="1"/>
  <c r="C71" i="28"/>
  <c r="C108" i="28" s="1"/>
  <c r="H74" i="28"/>
  <c r="H111" i="28" s="1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105" i="20" s="1"/>
  <c r="C65" i="20"/>
  <c r="C102" i="20" s="1"/>
  <c r="B52" i="20"/>
  <c r="B89" i="20" s="1"/>
  <c r="C77" i="20"/>
  <c r="C114" i="20" s="1"/>
  <c r="B68" i="20"/>
  <c r="B105" i="20" s="1"/>
  <c r="F97" i="6"/>
  <c r="H98" i="6"/>
  <c r="G52" i="6"/>
  <c r="G89" i="6" s="1"/>
  <c r="G104" i="6"/>
  <c r="G77" i="19"/>
  <c r="G114" i="19" s="1"/>
  <c r="H52" i="19"/>
  <c r="H89" i="19" s="1"/>
  <c r="H74" i="19"/>
  <c r="H111" i="19" s="1"/>
  <c r="F71" i="19"/>
  <c r="F108" i="19" s="1"/>
  <c r="H59" i="3"/>
  <c r="H96" i="3" s="1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G102" i="8" s="1"/>
  <c r="B68" i="8"/>
  <c r="B105" i="8" s="1"/>
  <c r="G71" i="8"/>
  <c r="G108" i="8" s="1"/>
  <c r="G77" i="8"/>
  <c r="G114" i="8" s="1"/>
  <c r="D71" i="8"/>
  <c r="C52" i="8"/>
  <c r="C89" i="8" s="1"/>
  <c r="F68" i="8"/>
  <c r="F105" i="8" s="1"/>
  <c r="E62" i="8"/>
  <c r="E99" i="8" s="1"/>
  <c r="G74" i="8"/>
  <c r="G111" i="8" s="1"/>
  <c r="E74" i="12"/>
  <c r="E111" i="12" s="1"/>
  <c r="B74" i="3"/>
  <c r="B111" i="3" s="1"/>
  <c r="G77" i="3"/>
  <c r="G114" i="3" s="1"/>
  <c r="G77" i="21"/>
  <c r="G114" i="21" s="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G114" i="28" s="1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C65" i="27"/>
  <c r="C102" i="27" s="1"/>
  <c r="H68" i="27"/>
  <c r="H105" i="27" s="1"/>
  <c r="C71" i="27"/>
  <c r="C108" i="27" s="1"/>
  <c r="H74" i="27"/>
  <c r="H111" i="27" s="1"/>
  <c r="G77" i="10"/>
  <c r="G114" i="10" s="1"/>
  <c r="B62" i="2"/>
  <c r="B104" i="7"/>
  <c r="G113" i="7"/>
  <c r="B98" i="7"/>
  <c r="G87" i="7"/>
  <c r="G107" i="7"/>
  <c r="H110" i="19"/>
  <c r="C68" i="19"/>
  <c r="C105" i="19" s="1"/>
  <c r="E71" i="19"/>
  <c r="E108" i="19" s="1"/>
  <c r="F77" i="19"/>
  <c r="F114" i="19" s="1"/>
  <c r="H59" i="19"/>
  <c r="F107" i="19"/>
  <c r="F65" i="19"/>
  <c r="F102" i="19" s="1"/>
  <c r="C52" i="19"/>
  <c r="C89" i="19" s="1"/>
  <c r="E52" i="19"/>
  <c r="E89" i="19" s="1"/>
  <c r="G65" i="19"/>
  <c r="G102" i="19" s="1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B105" i="19" s="1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E102" i="27" s="1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59" i="12"/>
  <c r="F96" i="12" s="1"/>
  <c r="B71" i="12"/>
  <c r="B108" i="12" s="1"/>
  <c r="G68" i="12"/>
  <c r="G105" i="12" s="1"/>
  <c r="C59" i="7"/>
  <c r="G74" i="7"/>
  <c r="G111" i="7" s="1"/>
  <c r="H74" i="7"/>
  <c r="H111" i="7" s="1"/>
  <c r="G48" i="7"/>
  <c r="B71" i="7"/>
  <c r="B108" i="7" s="1"/>
  <c r="G65" i="2"/>
  <c r="G102" i="2" s="1"/>
  <c r="F68" i="6"/>
  <c r="F105" i="6" s="1"/>
  <c r="C71" i="6"/>
  <c r="C108" i="6" s="1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H102" i="6" s="1"/>
  <c r="C68" i="6"/>
  <c r="C105" i="6" s="1"/>
  <c r="H71" i="6"/>
  <c r="H108" i="6" s="1"/>
  <c r="E77" i="6"/>
  <c r="E114" i="6" s="1"/>
  <c r="C52" i="6"/>
  <c r="C89" i="6" s="1"/>
  <c r="G71" i="6"/>
  <c r="G108" i="6" s="1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G105" i="3" s="1"/>
  <c r="B71" i="3"/>
  <c r="B108" i="3" s="1"/>
  <c r="B62" i="3"/>
  <c r="B99" i="3" s="1"/>
  <c r="B106" i="9"/>
  <c r="E74" i="9"/>
  <c r="E111" i="9" s="1"/>
  <c r="B52" i="7"/>
  <c r="B89" i="7" s="1"/>
  <c r="E68" i="7"/>
  <c r="E105" i="7" s="1"/>
  <c r="F106" i="7"/>
  <c r="F62" i="7"/>
  <c r="F99" i="7" s="1"/>
  <c r="C68" i="7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F65" i="7"/>
  <c r="F102" i="7" s="1"/>
  <c r="G52" i="9"/>
  <c r="F68" i="9"/>
  <c r="F105" i="9" s="1"/>
  <c r="F65" i="3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B114" i="19" s="1"/>
  <c r="D77" i="19"/>
  <c r="G62" i="19"/>
  <c r="G99" i="19" s="1"/>
  <c r="B74" i="19"/>
  <c r="B111" i="19" s="1"/>
  <c r="D109" i="19"/>
  <c r="D52" i="19"/>
  <c r="D89" i="19" s="1"/>
  <c r="E77" i="19"/>
  <c r="E114" i="19" s="1"/>
  <c r="B59" i="19"/>
  <c r="B62" i="19"/>
  <c r="C71" i="19"/>
  <c r="C108" i="19" s="1"/>
  <c r="C65" i="10"/>
  <c r="C102" i="10" s="1"/>
  <c r="B48" i="10"/>
  <c r="H52" i="28"/>
  <c r="H89" i="28" s="1"/>
  <c r="B52" i="28"/>
  <c r="B89" i="28" s="1"/>
  <c r="B62" i="28"/>
  <c r="B99" i="28" s="1"/>
  <c r="F65" i="28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H102" i="2" s="1"/>
  <c r="F71" i="2"/>
  <c r="F108" i="2" s="1"/>
  <c r="H77" i="2"/>
  <c r="H114" i="2" s="1"/>
  <c r="C59" i="2"/>
  <c r="C96" i="2" s="1"/>
  <c r="B52" i="2"/>
  <c r="B89" i="2" s="1"/>
  <c r="E62" i="2"/>
  <c r="E99" i="2" s="1"/>
  <c r="E74" i="2"/>
  <c r="E111" i="2" s="1"/>
  <c r="E52" i="2"/>
  <c r="E89" i="2" s="1"/>
  <c r="C103" i="2"/>
  <c r="F104" i="2"/>
  <c r="C52" i="2"/>
  <c r="C65" i="2"/>
  <c r="C102" i="2" s="1"/>
  <c r="H68" i="2"/>
  <c r="H105" i="2" s="1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F96" i="2" s="1"/>
  <c r="C62" i="2"/>
  <c r="C99" i="2" s="1"/>
  <c r="B71" i="2"/>
  <c r="B108" i="2" s="1"/>
  <c r="F74" i="2"/>
  <c r="F111" i="2" s="1"/>
  <c r="C48" i="2"/>
  <c r="C85" i="2" s="1"/>
  <c r="H59" i="2"/>
  <c r="H96" i="2" s="1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G99" i="2" s="1"/>
  <c r="H52" i="2"/>
  <c r="H89" i="2" s="1"/>
  <c r="B65" i="2"/>
  <c r="B102" i="2" s="1"/>
  <c r="E68" i="2"/>
  <c r="E105" i="2" s="1"/>
  <c r="G71" i="2"/>
  <c r="G108" i="2" s="1"/>
  <c r="E77" i="2"/>
  <c r="E114" i="2" s="1"/>
  <c r="D68" i="2"/>
  <c r="H71" i="2"/>
  <c r="H108" i="2" s="1"/>
  <c r="B74" i="2"/>
  <c r="B111" i="2" s="1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B114" i="13" s="1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99" i="5" s="1"/>
  <c r="B71" i="5"/>
  <c r="B108" i="5" s="1"/>
  <c r="E71" i="5"/>
  <c r="E108" i="5" s="1"/>
  <c r="B77" i="5"/>
  <c r="B114" i="5" s="1"/>
  <c r="C62" i="5"/>
  <c r="C99" i="5" s="1"/>
  <c r="C74" i="5"/>
  <c r="C111" i="5" s="1"/>
  <c r="F62" i="5"/>
  <c r="F99" i="5" s="1"/>
  <c r="F77" i="5"/>
  <c r="F114" i="5" s="1"/>
  <c r="E62" i="5"/>
  <c r="E99" i="5" s="1"/>
  <c r="G62" i="5"/>
  <c r="G99" i="5" s="1"/>
  <c r="B65" i="5"/>
  <c r="B102" i="5" s="1"/>
  <c r="E68" i="5"/>
  <c r="E105" i="5" s="1"/>
  <c r="C65" i="5"/>
  <c r="C102" i="5" s="1"/>
  <c r="F52" i="6"/>
  <c r="F89" i="6" s="1"/>
  <c r="G65" i="6"/>
  <c r="G102" i="6" s="1"/>
  <c r="C74" i="6"/>
  <c r="C111" i="6" s="1"/>
  <c r="D109" i="6"/>
  <c r="G62" i="6"/>
  <c r="G99" i="6" s="1"/>
  <c r="F77" i="6"/>
  <c r="F114" i="6" s="1"/>
  <c r="E71" i="6"/>
  <c r="E108" i="6" s="1"/>
  <c r="D52" i="6"/>
  <c r="E68" i="6"/>
  <c r="E105" i="6" s="1"/>
  <c r="G74" i="6"/>
  <c r="G111" i="6" s="1"/>
  <c r="D71" i="6"/>
  <c r="B52" i="6"/>
  <c r="B89" i="6" s="1"/>
  <c r="B62" i="6"/>
  <c r="B99" i="6" s="1"/>
  <c r="H74" i="6"/>
  <c r="H111" i="6" s="1"/>
  <c r="B77" i="6"/>
  <c r="E65" i="6"/>
  <c r="E102" i="6" s="1"/>
  <c r="H68" i="6"/>
  <c r="H105" i="6" s="1"/>
  <c r="H71" i="21"/>
  <c r="H108" i="21" s="1"/>
  <c r="C62" i="21"/>
  <c r="C99" i="21" s="1"/>
  <c r="B68" i="21"/>
  <c r="B105" i="21" s="1"/>
  <c r="E48" i="12"/>
  <c r="E85" i="12" s="1"/>
  <c r="H52" i="12"/>
  <c r="H89" i="12" s="1"/>
  <c r="D52" i="12"/>
  <c r="D89" i="12" s="1"/>
  <c r="H48" i="12"/>
  <c r="H85" i="12" s="1"/>
  <c r="C48" i="12"/>
  <c r="C85" i="12" s="1"/>
  <c r="E62" i="12"/>
  <c r="E99" i="12" s="1"/>
  <c r="C65" i="12"/>
  <c r="C102" i="12" s="1"/>
  <c r="G52" i="12"/>
  <c r="G89" i="12" s="1"/>
  <c r="H62" i="12"/>
  <c r="H99" i="12" s="1"/>
  <c r="F65" i="12"/>
  <c r="F102" i="12" s="1"/>
  <c r="B68" i="12"/>
  <c r="B105" i="12" s="1"/>
  <c r="D71" i="12"/>
  <c r="D108" i="12" s="1"/>
  <c r="D74" i="12"/>
  <c r="D111" i="12" s="1"/>
  <c r="H77" i="12"/>
  <c r="H114" i="12" s="1"/>
  <c r="G65" i="12"/>
  <c r="G102" i="12" s="1"/>
  <c r="F68" i="12"/>
  <c r="F105" i="12" s="1"/>
  <c r="E71" i="12"/>
  <c r="E108" i="12" s="1"/>
  <c r="G74" i="12"/>
  <c r="G111" i="12" s="1"/>
  <c r="B77" i="12"/>
  <c r="B114" i="12" s="1"/>
  <c r="H74" i="12"/>
  <c r="H111" i="12" s="1"/>
  <c r="C77" i="12"/>
  <c r="C114" i="12" s="1"/>
  <c r="D65" i="12"/>
  <c r="D102" i="12" s="1"/>
  <c r="G77" i="12"/>
  <c r="G114" i="12" s="1"/>
  <c r="D48" i="12"/>
  <c r="D85" i="12" s="1"/>
  <c r="B59" i="12"/>
  <c r="B96" i="12" s="1"/>
  <c r="G48" i="12"/>
  <c r="G85" i="12" s="1"/>
  <c r="B52" i="12"/>
  <c r="B89" i="12" s="1"/>
  <c r="E59" i="12"/>
  <c r="E96" i="12" s="1"/>
  <c r="C62" i="12"/>
  <c r="C99" i="12" s="1"/>
  <c r="C52" i="12"/>
  <c r="C89" i="12" s="1"/>
  <c r="H59" i="12"/>
  <c r="H96" i="12" s="1"/>
  <c r="D62" i="12"/>
  <c r="D99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G89" i="20" s="1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B96" i="20" s="1"/>
  <c r="E101" i="20"/>
  <c r="F62" i="20"/>
  <c r="F99" i="20" s="1"/>
  <c r="D74" i="20"/>
  <c r="G62" i="20"/>
  <c r="G99" i="20" s="1"/>
  <c r="E74" i="7"/>
  <c r="E111" i="7" s="1"/>
  <c r="H77" i="7"/>
  <c r="H114" i="7" s="1"/>
  <c r="D71" i="7"/>
  <c r="E62" i="7"/>
  <c r="E99" i="7" s="1"/>
  <c r="G62" i="7"/>
  <c r="G99" i="7" s="1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D111" i="7" s="1"/>
  <c r="C62" i="7"/>
  <c r="C99" i="7" s="1"/>
  <c r="G68" i="7"/>
  <c r="G105" i="7" s="1"/>
  <c r="F74" i="7"/>
  <c r="F111" i="7" s="1"/>
  <c r="E52" i="3"/>
  <c r="E89" i="3" s="1"/>
  <c r="C62" i="3"/>
  <c r="C99" i="3" s="1"/>
  <c r="G65" i="3"/>
  <c r="G102" i="3" s="1"/>
  <c r="C71" i="3"/>
  <c r="C108" i="3" s="1"/>
  <c r="E59" i="3"/>
  <c r="E96" i="3" s="1"/>
  <c r="F52" i="3"/>
  <c r="F89" i="3" s="1"/>
  <c r="B68" i="3"/>
  <c r="B105" i="3" s="1"/>
  <c r="F74" i="3"/>
  <c r="F111" i="3" s="1"/>
  <c r="G52" i="3"/>
  <c r="G89" i="3" s="1"/>
  <c r="F62" i="3"/>
  <c r="F99" i="3" s="1"/>
  <c r="E71" i="3"/>
  <c r="E108" i="3" s="1"/>
  <c r="G74" i="3"/>
  <c r="G111" i="3" s="1"/>
  <c r="E68" i="3"/>
  <c r="E105" i="3" s="1"/>
  <c r="H74" i="3"/>
  <c r="H111" i="3" s="1"/>
  <c r="B77" i="3"/>
  <c r="B114" i="3" s="1"/>
  <c r="H62" i="3"/>
  <c r="H99" i="3" s="1"/>
  <c r="B65" i="3"/>
  <c r="B102" i="3" s="1"/>
  <c r="F68" i="3"/>
  <c r="F105" i="3" s="1"/>
  <c r="G71" i="3"/>
  <c r="G108" i="3" s="1"/>
  <c r="C77" i="3"/>
  <c r="C114" i="3" s="1"/>
  <c r="B52" i="3"/>
  <c r="B89" i="3" s="1"/>
  <c r="C65" i="3"/>
  <c r="C102" i="3" s="1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E111" i="8" s="1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H102" i="21" s="1"/>
  <c r="B77" i="21"/>
  <c r="B114" i="21" s="1"/>
  <c r="C77" i="21"/>
  <c r="C114" i="21" s="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F114" i="21" s="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91" i="5"/>
  <c r="E59" i="5"/>
  <c r="C95" i="5"/>
  <c r="D106" i="5"/>
  <c r="C83" i="5"/>
  <c r="E94" i="5"/>
  <c r="C48" i="5"/>
  <c r="C85" i="5" s="1"/>
  <c r="D62" i="5"/>
  <c r="D68" i="5"/>
  <c r="H94" i="5"/>
  <c r="D64" i="5"/>
  <c r="D65" i="5" s="1"/>
  <c r="C71" i="5"/>
  <c r="C108" i="5" s="1"/>
  <c r="F74" i="5"/>
  <c r="C84" i="5"/>
  <c r="F95" i="5"/>
  <c r="H97" i="5"/>
  <c r="G104" i="5"/>
  <c r="H113" i="5"/>
  <c r="F57" i="5"/>
  <c r="F59" i="5" s="1"/>
  <c r="F96" i="5" s="1"/>
  <c r="G58" i="5"/>
  <c r="G59" i="5" s="1"/>
  <c r="G96" i="5" s="1"/>
  <c r="E101" i="5"/>
  <c r="H104" i="5"/>
  <c r="B106" i="5"/>
  <c r="E109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D103" i="5"/>
  <c r="G71" i="5"/>
  <c r="G108" i="5" s="1"/>
  <c r="B74" i="5"/>
  <c r="H101" i="5"/>
  <c r="C104" i="5"/>
  <c r="B57" i="5"/>
  <c r="B94" i="5" s="1"/>
  <c r="E113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D77" i="8"/>
  <c r="D110" i="8"/>
  <c r="G83" i="8"/>
  <c r="D91" i="8"/>
  <c r="D103" i="8"/>
  <c r="D112" i="8"/>
  <c r="F58" i="8"/>
  <c r="F59" i="8" s="1"/>
  <c r="D64" i="8"/>
  <c r="D101" i="8" s="1"/>
  <c r="G104" i="8"/>
  <c r="B107" i="8"/>
  <c r="D106" i="8"/>
  <c r="D63" i="8"/>
  <c r="E109" i="8"/>
  <c r="F110" i="8"/>
  <c r="H112" i="8"/>
  <c r="G47" i="8"/>
  <c r="G48" i="8" s="1"/>
  <c r="H87" i="8"/>
  <c r="H95" i="8"/>
  <c r="G110" i="8"/>
  <c r="B113" i="8"/>
  <c r="D92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B111" i="13"/>
  <c r="B47" i="13"/>
  <c r="E46" i="13"/>
  <c r="E48" i="13" s="1"/>
  <c r="D52" i="13"/>
  <c r="G95" i="13"/>
  <c r="H59" i="13"/>
  <c r="H96" i="13" s="1"/>
  <c r="D68" i="13"/>
  <c r="B46" i="13"/>
  <c r="B83" i="13" s="1"/>
  <c r="H83" i="13"/>
  <c r="C102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D89" i="28" s="1"/>
  <c r="F46" i="28"/>
  <c r="F83" i="28" s="1"/>
  <c r="D97" i="28"/>
  <c r="C47" i="28"/>
  <c r="D74" i="28"/>
  <c r="D87" i="28"/>
  <c r="H47" i="28"/>
  <c r="D90" i="28"/>
  <c r="C94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F102" i="28"/>
  <c r="D61" i="28"/>
  <c r="D62" i="28" s="1"/>
  <c r="D69" i="28"/>
  <c r="D71" i="28" s="1"/>
  <c r="C97" i="28"/>
  <c r="G101" i="28"/>
  <c r="E107" i="28"/>
  <c r="G109" i="28"/>
  <c r="C113" i="28"/>
  <c r="D103" i="28"/>
  <c r="B95" i="28"/>
  <c r="H101" i="28"/>
  <c r="F107" i="28"/>
  <c r="D113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D97" i="20"/>
  <c r="B84" i="20"/>
  <c r="H47" i="20"/>
  <c r="F46" i="20"/>
  <c r="D113" i="20"/>
  <c r="H46" i="20"/>
  <c r="H83" i="20" s="1"/>
  <c r="G95" i="20"/>
  <c r="D77" i="20"/>
  <c r="G84" i="20"/>
  <c r="D52" i="20"/>
  <c r="D46" i="20"/>
  <c r="D90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E46" i="20"/>
  <c r="E83" i="20" s="1"/>
  <c r="F47" i="20"/>
  <c r="D63" i="20"/>
  <c r="D65" i="20" s="1"/>
  <c r="D102" i="20" s="1"/>
  <c r="G74" i="20"/>
  <c r="G111" i="20" s="1"/>
  <c r="B77" i="20"/>
  <c r="H88" i="20"/>
  <c r="H58" i="20"/>
  <c r="H59" i="20" s="1"/>
  <c r="B46" i="20"/>
  <c r="B48" i="20" s="1"/>
  <c r="D91" i="20"/>
  <c r="D61" i="20"/>
  <c r="D62" i="20" s="1"/>
  <c r="C97" i="20"/>
  <c r="G101" i="20"/>
  <c r="E107" i="20"/>
  <c r="G109" i="20"/>
  <c r="C113" i="20"/>
  <c r="C89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B114" i="6"/>
  <c r="F83" i="6"/>
  <c r="D68" i="6"/>
  <c r="G59" i="6"/>
  <c r="G83" i="6"/>
  <c r="G48" i="6"/>
  <c r="H83" i="6"/>
  <c r="D101" i="6"/>
  <c r="H48" i="6"/>
  <c r="E46" i="6"/>
  <c r="D91" i="6"/>
  <c r="E47" i="6"/>
  <c r="E57" i="6"/>
  <c r="E94" i="6" s="1"/>
  <c r="F58" i="6"/>
  <c r="G88" i="6"/>
  <c r="D92" i="6"/>
  <c r="D106" i="6"/>
  <c r="F47" i="6"/>
  <c r="F48" i="6" s="1"/>
  <c r="F57" i="6"/>
  <c r="F94" i="6" s="1"/>
  <c r="D63" i="6"/>
  <c r="D65" i="6" s="1"/>
  <c r="B98" i="6"/>
  <c r="C107" i="6"/>
  <c r="D103" i="6"/>
  <c r="B113" i="6"/>
  <c r="H57" i="6"/>
  <c r="H94" i="6" s="1"/>
  <c r="D61" i="6"/>
  <c r="D62" i="6" s="1"/>
  <c r="F100" i="6"/>
  <c r="B104" i="6"/>
  <c r="B58" i="6"/>
  <c r="B59" i="6" s="1"/>
  <c r="B96" i="6" s="1"/>
  <c r="H101" i="6"/>
  <c r="F107" i="6"/>
  <c r="D112" i="6"/>
  <c r="C58" i="6"/>
  <c r="C59" i="6" s="1"/>
  <c r="E104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G83" i="2"/>
  <c r="D87" i="2"/>
  <c r="G94" i="2"/>
  <c r="D101" i="2"/>
  <c r="H95" i="2"/>
  <c r="D106" i="2"/>
  <c r="E47" i="2"/>
  <c r="E48" i="2" s="1"/>
  <c r="E85" i="2" s="1"/>
  <c r="C84" i="2"/>
  <c r="G88" i="2"/>
  <c r="F95" i="2"/>
  <c r="E110" i="2"/>
  <c r="H113" i="2"/>
  <c r="D91" i="2"/>
  <c r="H99" i="2"/>
  <c r="D103" i="2"/>
  <c r="F105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B99" i="19"/>
  <c r="G95" i="19"/>
  <c r="B47" i="19"/>
  <c r="D91" i="19"/>
  <c r="C102" i="19"/>
  <c r="E47" i="19"/>
  <c r="F58" i="19"/>
  <c r="F95" i="19" s="1"/>
  <c r="F66" i="19"/>
  <c r="F68" i="19" s="1"/>
  <c r="G88" i="19"/>
  <c r="H97" i="19"/>
  <c r="B107" i="19"/>
  <c r="E110" i="19"/>
  <c r="H113" i="19"/>
  <c r="C46" i="19"/>
  <c r="D90" i="19"/>
  <c r="D112" i="19"/>
  <c r="G66" i="19"/>
  <c r="G68" i="19" s="1"/>
  <c r="G105" i="19" s="1"/>
  <c r="C107" i="19"/>
  <c r="E109" i="19"/>
  <c r="H66" i="19"/>
  <c r="H68" i="19" s="1"/>
  <c r="D70" i="19"/>
  <c r="D71" i="19" s="1"/>
  <c r="C98" i="19"/>
  <c r="F101" i="19"/>
  <c r="B113" i="19"/>
  <c r="B88" i="19"/>
  <c r="G101" i="19"/>
  <c r="C113" i="19"/>
  <c r="C88" i="19"/>
  <c r="G92" i="19"/>
  <c r="B95" i="19"/>
  <c r="E98" i="19"/>
  <c r="G100" i="19"/>
  <c r="H101" i="19"/>
  <c r="E113" i="19"/>
  <c r="D111" i="19"/>
  <c r="C47" i="19"/>
  <c r="F113" i="19"/>
  <c r="B94" i="19"/>
  <c r="F94" i="12"/>
  <c r="G103" i="12"/>
  <c r="F48" i="12"/>
  <c r="F85" i="12" s="1"/>
  <c r="G59" i="12"/>
  <c r="G96" i="12" s="1"/>
  <c r="B62" i="12"/>
  <c r="B99" i="12" s="1"/>
  <c r="E65" i="12"/>
  <c r="E102" i="12" s="1"/>
  <c r="H68" i="12"/>
  <c r="H105" i="12" s="1"/>
  <c r="C71" i="12"/>
  <c r="C108" i="12" s="1"/>
  <c r="F74" i="12"/>
  <c r="F111" i="12" s="1"/>
  <c r="C84" i="12"/>
  <c r="H113" i="12"/>
  <c r="D100" i="12"/>
  <c r="H87" i="12"/>
  <c r="H65" i="12"/>
  <c r="H102" i="12" s="1"/>
  <c r="C68" i="12"/>
  <c r="C105" i="12" s="1"/>
  <c r="F71" i="12"/>
  <c r="F108" i="12" s="1"/>
  <c r="D77" i="12"/>
  <c r="D114" i="12" s="1"/>
  <c r="E83" i="12"/>
  <c r="E109" i="12"/>
  <c r="B48" i="12"/>
  <c r="B85" i="12" s="1"/>
  <c r="E52" i="12"/>
  <c r="E89" i="12" s="1"/>
  <c r="C59" i="12"/>
  <c r="C96" i="12" s="1"/>
  <c r="F62" i="12"/>
  <c r="F99" i="12" s="1"/>
  <c r="D68" i="12"/>
  <c r="D105" i="12" s="1"/>
  <c r="G71" i="12"/>
  <c r="G108" i="12" s="1"/>
  <c r="B74" i="12"/>
  <c r="B111" i="12" s="1"/>
  <c r="E77" i="12"/>
  <c r="E114" i="12" s="1"/>
  <c r="F52" i="12"/>
  <c r="F89" i="12" s="1"/>
  <c r="D59" i="12"/>
  <c r="D96" i="12" s="1"/>
  <c r="G62" i="12"/>
  <c r="G99" i="12" s="1"/>
  <c r="B65" i="12"/>
  <c r="B102" i="12" s="1"/>
  <c r="E68" i="12"/>
  <c r="E105" i="12" s="1"/>
  <c r="H71" i="12"/>
  <c r="H108" i="12" s="1"/>
  <c r="C74" i="12"/>
  <c r="C111" i="12" s="1"/>
  <c r="F77" i="12"/>
  <c r="F114" i="12" s="1"/>
  <c r="B106" i="12"/>
  <c r="C94" i="21"/>
  <c r="E95" i="21"/>
  <c r="H59" i="21"/>
  <c r="H96" i="21" s="1"/>
  <c r="B48" i="21"/>
  <c r="B85" i="21" s="1"/>
  <c r="B83" i="21"/>
  <c r="H94" i="21"/>
  <c r="C83" i="21"/>
  <c r="D52" i="21"/>
  <c r="C47" i="21"/>
  <c r="C48" i="21" s="1"/>
  <c r="D58" i="21"/>
  <c r="D59" i="21" s="1"/>
  <c r="D101" i="21"/>
  <c r="D102" i="21"/>
  <c r="D104" i="21"/>
  <c r="B84" i="21"/>
  <c r="D91" i="21"/>
  <c r="D113" i="21"/>
  <c r="D46" i="21"/>
  <c r="B95" i="21"/>
  <c r="G10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57" i="21"/>
  <c r="F94" i="21" s="1"/>
  <c r="G58" i="21"/>
  <c r="G59" i="21" s="1"/>
  <c r="H88" i="21"/>
  <c r="E101" i="21"/>
  <c r="E109" i="21"/>
  <c r="H83" i="21"/>
  <c r="D92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D68" i="3"/>
  <c r="D106" i="3"/>
  <c r="E47" i="3"/>
  <c r="E48" i="3" s="1"/>
  <c r="F58" i="3"/>
  <c r="F59" i="3" s="1"/>
  <c r="D64" i="3"/>
  <c r="D72" i="3"/>
  <c r="D109" i="3" s="1"/>
  <c r="G88" i="3"/>
  <c r="E110" i="3"/>
  <c r="H113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F102" i="3"/>
  <c r="H47" i="3"/>
  <c r="H48" i="3" s="1"/>
  <c r="H85" i="3" s="1"/>
  <c r="D61" i="3"/>
  <c r="D62" i="3" s="1"/>
  <c r="B88" i="3"/>
  <c r="E91" i="3"/>
  <c r="G101" i="3"/>
  <c r="H110" i="3"/>
  <c r="C113" i="3"/>
  <c r="E90" i="3"/>
  <c r="H101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B46" i="7"/>
  <c r="G59" i="7"/>
  <c r="H59" i="7"/>
  <c r="H96" i="7" s="1"/>
  <c r="F83" i="7"/>
  <c r="F94" i="7"/>
  <c r="D91" i="7"/>
  <c r="D97" i="7"/>
  <c r="H84" i="7"/>
  <c r="D110" i="7"/>
  <c r="E94" i="7"/>
  <c r="H46" i="7"/>
  <c r="H83" i="7" s="1"/>
  <c r="E47" i="7"/>
  <c r="G83" i="7"/>
  <c r="E59" i="7"/>
  <c r="C83" i="7"/>
  <c r="D92" i="7"/>
  <c r="C102" i="7"/>
  <c r="D109" i="7"/>
  <c r="F58" i="7"/>
  <c r="F59" i="7" s="1"/>
  <c r="F96" i="7" s="1"/>
  <c r="H97" i="7"/>
  <c r="D101" i="7"/>
  <c r="G104" i="7"/>
  <c r="B107" i="7"/>
  <c r="C105" i="7"/>
  <c r="D63" i="7"/>
  <c r="D65" i="7" s="1"/>
  <c r="E109" i="7"/>
  <c r="F110" i="7"/>
  <c r="H112" i="7"/>
  <c r="H87" i="7"/>
  <c r="G94" i="7"/>
  <c r="H95" i="7"/>
  <c r="B113" i="7"/>
  <c r="D61" i="7"/>
  <c r="D62" i="7" s="1"/>
  <c r="D99" i="7" s="1"/>
  <c r="B88" i="7"/>
  <c r="E91" i="7"/>
  <c r="C97" i="7"/>
  <c r="F100" i="7"/>
  <c r="G101" i="7"/>
  <c r="E107" i="7"/>
  <c r="D103" i="7"/>
  <c r="B58" i="7"/>
  <c r="B59" i="7" s="1"/>
  <c r="E98" i="7"/>
  <c r="H101" i="7"/>
  <c r="E106" i="7"/>
  <c r="F107" i="7"/>
  <c r="D50" i="7"/>
  <c r="D52" i="7" s="1"/>
  <c r="D75" i="7"/>
  <c r="D77" i="7" s="1"/>
  <c r="H59" i="9" l="1"/>
  <c r="F48" i="20"/>
  <c r="C83" i="8"/>
  <c r="E59" i="20"/>
  <c r="E96" i="20" s="1"/>
  <c r="H48" i="28"/>
  <c r="H85" i="28" s="1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H85" i="7" s="1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G37" i="25"/>
  <c r="C21" i="25"/>
  <c r="C95" i="25" s="1"/>
  <c r="C37" i="25"/>
  <c r="C110" i="25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85" i="25" l="1"/>
  <c r="D84" i="25"/>
  <c r="D11" i="25"/>
  <c r="D85" i="25" s="1"/>
</calcChain>
</file>

<file path=xl/sharedStrings.xml><?xml version="1.0" encoding="utf-8"?>
<sst xmlns="http://schemas.openxmlformats.org/spreadsheetml/2006/main" count="6235" uniqueCount="102">
  <si>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</si>
  <si>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</si>
  <si>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</si>
  <si>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</si>
  <si>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</si>
  <si>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</si>
  <si>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</si>
  <si>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</si>
  <si>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</si>
  <si>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</si>
  <si>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</si>
  <si>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</si>
  <si>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</si>
  <si>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</si>
  <si>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</si>
  <si>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</si>
  <si>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</si>
  <si>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</si>
  <si>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</si>
  <si>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</si>
  <si>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</si>
  <si>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</si>
  <si>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</si>
  <si>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</si>
  <si>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</si>
  <si>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</si>
  <si>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</si>
  <si>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</si>
  <si>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</si>
  <si>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</si>
  <si>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</si>
  <si>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</si>
  <si>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</si>
  <si>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</si>
  <si>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</si>
  <si>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</si>
  <si>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</si>
  <si>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</si>
  <si>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</si>
  <si>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</si>
  <si>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</si>
  <si>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</si>
  <si>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</si>
  <si>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</si>
  <si>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</si>
  <si>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</si>
  <si>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</si>
  <si>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</si>
  <si>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</si>
  <si>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</si>
  <si>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</si>
  <si>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</si>
  <si>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</si>
  <si>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</si>
  <si>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</si>
  <si>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</si>
  <si>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</si>
  <si>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</si>
  <si>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</si>
  <si>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</si>
  <si>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</si>
  <si>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</si>
  <si>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</si>
  <si>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</si>
  <si>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</si>
  <si>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</si>
  <si>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</si>
  <si>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>Директор СЦДП ДП Габрово            инж. Тодор Бонев</t>
  </si>
  <si>
    <t xml:space="preserve">Одобрил: . . . . . . . . . . . . . . . . . . . . . . . . . . . </t>
  </si>
  <si>
    <t>/инж. Цв. Миланов-директор СЦДП ДП Габрово/</t>
  </si>
  <si>
    <t xml:space="preserve"> НА  ТП ДГС ГАБРОВО ЗА 2020г. </t>
  </si>
  <si>
    <t xml:space="preserve"> НА  ТП ДГС ЕЛЕНА ЗА 2020г. </t>
  </si>
  <si>
    <t xml:space="preserve">ГОДИШЕН ПЛАН ЗА ПОЛЗВАНЕ НА ДЪРВЕСИНА                                НА  ТП ДГС СЕВЛИЕВО  ЗА 2020г.                                              </t>
  </si>
  <si>
    <t>ГОДИШЕН ПЛАН ЗА ПОЛЗВАНЕ НА ДЪРВЕСИНА НА СЦДП ДП ТП ДГС "Сеслав"  ЗА 2020 г.</t>
  </si>
  <si>
    <t xml:space="preserve">                            /инж. Иван Недков - Директор СЦДП ДП Габрово/</t>
  </si>
  <si>
    <t xml:space="preserve">ГОДИШЕН ПЛАН ЗА ПОЛЗВАНЕ НА ДЪРВЕСИНА НА ДП ТП "ДГС СВИЩОВ" </t>
  </si>
  <si>
    <t>"ДГС СВИЩОВ" за 2024 г.</t>
  </si>
  <si>
    <t>/инж. Иван Недков-директор СЦДП ДП Габрово/</t>
  </si>
  <si>
    <t xml:space="preserve"> НА  ТП ДГС БУЙНОВЦИ ЗА 2024 г. </t>
  </si>
  <si>
    <t xml:space="preserve">                  /Директор "СЦДП" ДП Габрово - инж. Иван Недков/</t>
  </si>
  <si>
    <t>ГОДИШЕН ПЛАН ЗА ПОЛЗВАНЕ НА ДЪРВЕСИНА НА                                                   ТП ДГС "ГОРНА ОРЯХОВИЦА"  ЗА 2024 г.  към 16.10.2023 г.</t>
  </si>
  <si>
    <t>Директор:</t>
  </si>
  <si>
    <t>/инж. Мила Стоянова/</t>
  </si>
  <si>
    <t xml:space="preserve">ГОДИШЕН ПЛАН ЗА ПОЛЗВАНЕ НА ДЪРВЕСИНА                                
НА  ТП ДГС"Болярка"-В.Търново  за 2024г.                                              </t>
  </si>
  <si>
    <t xml:space="preserve">ГОДИШЕН ПЛАН ЗА ПОЛЗВАНЕ НА ДЪРВЕСИНА  НА                ТП ДГС ПЛАЧКОВЦИ                                                                     </t>
  </si>
  <si>
    <t xml:space="preserve"> ВСИЧКО/І+ІІ+ІV/</t>
  </si>
  <si>
    <t xml:space="preserve">ГОДИШЕН ПЛАН ЗА ПОЛЗВАНЕ НА ДЪРВЕСИНА    НА  ТП ДЛС РОСИЦА-СЕВЛИЕВО ЗА 2024г.                                                                           </t>
  </si>
  <si>
    <t>Директор СЦДП ДП Габрово            инж. Иван Недков</t>
  </si>
  <si>
    <t xml:space="preserve">ГОДИШЕН ПЛАН ЗА ПОЛЗВАНЕ НА ДЪРВЕСИНА НА  ТП ДГС БЯЛА ЗА 2024 г.                                              </t>
  </si>
  <si>
    <t xml:space="preserve">ГОДИШЕН ПЛАН ЗА ПОЛЗВАНЕ НА ДЪРВЕСИНА НА                                                           ТП ДЛС "ДУНАВ" РУСЕ  ЗА 2024 г.                                                        </t>
  </si>
  <si>
    <t xml:space="preserve">ГОДИШЕН ПЛАН ЗА ПОЛЗВАНЕ НА ДЪРВЕСИНА НА  ТП ДЛС "КАРАКУЗ" ГРАД ДУЛОВО  ЗА 2024г.                                              </t>
  </si>
  <si>
    <t>/Директор "СЦДП" ДП Габрово - инж. И. Недков/</t>
  </si>
  <si>
    <t>ГОДИШЕН ПЛАН ЗА ПОЛЗВАНЕ НА ДЪРВЕСИНА НА                                                   ТП ДГС "РАЗГРАД"  ЗА 2024 г.</t>
  </si>
  <si>
    <t>Директор СЦДП ДП Габрово            /инж. И. Недков/</t>
  </si>
  <si>
    <t xml:space="preserve">ГОДИШЕН ПЛАН ЗА ПОЛЗВАНЕ НА ДЪРВЕСИНА  НА                                                ТП ДГС -СИЛИСТРА  ЗА 2024 г., към   17.10.2023 год.                                          </t>
  </si>
  <si>
    <t>ІV. ДРУГИ  СЕЧИ</t>
  </si>
  <si>
    <t>ГОДИШЕН ПЛАН ЗА ПОЛЗВАНЕ НА ДЪРВЕСИНА НА ТП ДГС "ТУТРАКАН"  ЗА 2024г.</t>
  </si>
  <si>
    <t>инж. Иван Недков</t>
  </si>
  <si>
    <t>ГОДИШЕН ПЛАН ЗА ПОЛЗВАНЕ НА ДЪРВЕСИНА НА ТП ДЛС  "ВОДЕН-ИРИ ХИСАР"  ЗА 2024 г.</t>
  </si>
  <si>
    <t>към 15.10.2023 г.</t>
  </si>
  <si>
    <t xml:space="preserve">                   /Невелин Неделчев/</t>
  </si>
  <si>
    <t>ГОДИШЕН ПЛАН ЗА ПОЛЗВАНЕ НА ДЪРВЕСИНА НА СЦДП ДП ГАБРОВО  ЗА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</si>
</sst>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  <numFmt numFmtId="169" formatCode="0.000"/>
  </numFmts>
  <fonts count="63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b/>
      <sz val="10"/>
      <name val="Arial"/>
    </font>
    <font>
      <sz val="10"/>
      <name val="Arial"/>
    </font>
    <font>
      <sz val="10"/>
      <color indexed="10"/>
      <name val="Arial"/>
    </font>
    <font>
      <sz val="11"/>
      <color rgb="FF9C5700"/>
      <name val="Calibri"/>
      <family val="2"/>
      <charset val="204"/>
      <scheme val="minor"/>
    </font>
    <font>
      <b/>
      <sz val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8" fillId="0" borderId="0"/>
    <xf numFmtId="0" fontId="45" fillId="0" borderId="0"/>
    <xf numFmtId="0" fontId="49" fillId="0" borderId="0"/>
    <xf numFmtId="0" fontId="2" fillId="0" borderId="0"/>
    <xf numFmtId="0" fontId="61" fillId="9" borderId="0" applyNumberFormat="0" applyBorder="0" applyAlignment="0" applyProtection="0"/>
    <xf numFmtId="0" fontId="1" fillId="0" borderId="0"/>
  </cellStyleXfs>
  <cellXfs count="534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Continuous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6" fillId="2" borderId="3" xfId="0" applyFont="1" applyFill="1" applyBorder="1"/>
    <xf numFmtId="165" fontId="8" fillId="0" borderId="3" xfId="0" applyNumberFormat="1" applyFont="1" applyBorder="1"/>
    <xf numFmtId="1" fontId="8" fillId="0" borderId="3" xfId="0" applyNumberFormat="1" applyFont="1" applyBorder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/>
    <xf numFmtId="165" fontId="14" fillId="0" borderId="3" xfId="0" applyNumberFormat="1" applyFont="1" applyBorder="1"/>
    <xf numFmtId="1" fontId="14" fillId="0" borderId="3" xfId="0" applyNumberFormat="1" applyFont="1" applyBorder="1"/>
    <xf numFmtId="0" fontId="0" fillId="2" borderId="0" xfId="0" applyFill="1"/>
    <xf numFmtId="0" fontId="8" fillId="2" borderId="3" xfId="0" applyFont="1" applyFill="1" applyBorder="1"/>
    <xf numFmtId="0" fontId="3" fillId="2" borderId="3" xfId="0" applyFont="1" applyFill="1" applyBorder="1"/>
    <xf numFmtId="0" fontId="8" fillId="2" borderId="0" xfId="0" applyFont="1" applyFill="1"/>
    <xf numFmtId="1" fontId="0" fillId="0" borderId="0" xfId="0" applyNumberFormat="1"/>
    <xf numFmtId="165" fontId="12" fillId="0" borderId="3" xfId="0" applyNumberFormat="1" applyFont="1" applyBorder="1"/>
    <xf numFmtId="1" fontId="12" fillId="0" borderId="3" xfId="0" applyNumberFormat="1" applyFont="1" applyBorder="1"/>
    <xf numFmtId="165" fontId="8" fillId="0" borderId="3" xfId="0" applyNumberFormat="1" applyFont="1" applyBorder="1" applyAlignment="1">
      <alignment horizontal="right"/>
    </xf>
    <xf numFmtId="165" fontId="0" fillId="0" borderId="0" xfId="0" applyNumberFormat="1"/>
    <xf numFmtId="1" fontId="3" fillId="0" borderId="3" xfId="0" applyNumberFormat="1" applyFont="1" applyBorder="1"/>
    <xf numFmtId="165" fontId="3" fillId="0" borderId="3" xfId="0" applyNumberFormat="1" applyFont="1" applyBorder="1"/>
    <xf numFmtId="0" fontId="3" fillId="0" borderId="4" xfId="0" applyFont="1" applyBorder="1"/>
    <xf numFmtId="1" fontId="13" fillId="0" borderId="3" xfId="0" applyNumberFormat="1" applyFont="1" applyBorder="1"/>
    <xf numFmtId="0" fontId="8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3" xfId="0" applyFont="1" applyBorder="1"/>
    <xf numFmtId="0" fontId="5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1" fontId="6" fillId="0" borderId="3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3" fillId="0" borderId="4" xfId="0" applyFont="1" applyBorder="1" applyAlignment="1">
      <alignment horizontal="center"/>
    </xf>
    <xf numFmtId="165" fontId="6" fillId="0" borderId="3" xfId="0" applyNumberFormat="1" applyFont="1" applyBorder="1"/>
    <xf numFmtId="0" fontId="12" fillId="0" borderId="3" xfId="0" applyFont="1" applyBorder="1"/>
    <xf numFmtId="165" fontId="19" fillId="0" borderId="3" xfId="0" applyNumberFormat="1" applyFont="1" applyBorder="1"/>
    <xf numFmtId="1" fontId="19" fillId="0" borderId="3" xfId="0" applyNumberFormat="1" applyFont="1" applyBorder="1"/>
    <xf numFmtId="1" fontId="20" fillId="0" borderId="3" xfId="0" applyNumberFormat="1" applyFont="1" applyBorder="1"/>
    <xf numFmtId="165" fontId="13" fillId="0" borderId="3" xfId="0" applyNumberFormat="1" applyFont="1" applyBorder="1"/>
    <xf numFmtId="165" fontId="14" fillId="0" borderId="3" xfId="0" applyNumberFormat="1" applyFont="1" applyBorder="1" applyAlignment="1">
      <alignment horizontal="right"/>
    </xf>
    <xf numFmtId="1" fontId="14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" fontId="0" fillId="0" borderId="3" xfId="0" applyNumberFormat="1" applyBorder="1"/>
    <xf numFmtId="2" fontId="3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Continuous"/>
    </xf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 applyAlignment="1">
      <alignment horizontal="centerContinuous"/>
    </xf>
    <xf numFmtId="0" fontId="3" fillId="0" borderId="5" xfId="0" applyFont="1" applyBorder="1"/>
    <xf numFmtId="0" fontId="3" fillId="0" borderId="10" xfId="0" applyFont="1" applyBorder="1"/>
    <xf numFmtId="0" fontId="6" fillId="0" borderId="2" xfId="0" applyFont="1" applyBorder="1"/>
    <xf numFmtId="0" fontId="6" fillId="0" borderId="11" xfId="0" applyFont="1" applyBorder="1"/>
    <xf numFmtId="0" fontId="4" fillId="0" borderId="3" xfId="0" applyFont="1" applyBorder="1"/>
    <xf numFmtId="0" fontId="6" fillId="2" borderId="11" xfId="0" applyFont="1" applyFill="1" applyBorder="1"/>
    <xf numFmtId="0" fontId="0" fillId="0" borderId="12" xfId="0" applyBorder="1"/>
    <xf numFmtId="0" fontId="0" fillId="0" borderId="9" xfId="0" applyBorder="1"/>
    <xf numFmtId="0" fontId="3" fillId="0" borderId="11" xfId="0" applyFont="1" applyBorder="1"/>
    <xf numFmtId="0" fontId="16" fillId="2" borderId="3" xfId="0" applyFont="1" applyFill="1" applyBorder="1"/>
    <xf numFmtId="0" fontId="16" fillId="2" borderId="11" xfId="0" applyFont="1" applyFill="1" applyBorder="1"/>
    <xf numFmtId="0" fontId="8" fillId="2" borderId="11" xfId="0" applyFont="1" applyFill="1" applyBorder="1"/>
    <xf numFmtId="1" fontId="0" fillId="0" borderId="9" xfId="0" applyNumberFormat="1" applyBorder="1"/>
    <xf numFmtId="0" fontId="15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3" fillId="0" borderId="3" xfId="4" applyFont="1" applyBorder="1"/>
    <xf numFmtId="0" fontId="3" fillId="0" borderId="14" xfId="0" applyFont="1" applyBorder="1"/>
    <xf numFmtId="1" fontId="3" fillId="0" borderId="14" xfId="0" applyNumberFormat="1" applyFont="1" applyBorder="1"/>
    <xf numFmtId="1" fontId="3" fillId="0" borderId="15" xfId="0" applyNumberFormat="1" applyFont="1" applyBorder="1"/>
    <xf numFmtId="0" fontId="3" fillId="0" borderId="1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6" fillId="0" borderId="12" xfId="4" applyFont="1" applyBorder="1"/>
    <xf numFmtId="0" fontId="6" fillId="0" borderId="3" xfId="4" applyFont="1" applyBorder="1"/>
    <xf numFmtId="3" fontId="6" fillId="0" borderId="3" xfId="4" applyNumberFormat="1" applyFont="1" applyBorder="1"/>
    <xf numFmtId="0" fontId="22" fillId="2" borderId="3" xfId="4" applyFont="1" applyFill="1" applyBorder="1"/>
    <xf numFmtId="0" fontId="6" fillId="0" borderId="2" xfId="4" applyFont="1" applyBorder="1"/>
    <xf numFmtId="3" fontId="6" fillId="0" borderId="2" xfId="4" applyNumberFormat="1" applyFont="1" applyBorder="1"/>
    <xf numFmtId="0" fontId="3" fillId="0" borderId="12" xfId="4" applyFont="1" applyBorder="1"/>
    <xf numFmtId="3" fontId="2" fillId="0" borderId="13" xfId="0" applyNumberFormat="1" applyFont="1" applyBorder="1"/>
    <xf numFmtId="3" fontId="2" fillId="0" borderId="11" xfId="0" applyNumberFormat="1" applyFont="1" applyBorder="1"/>
    <xf numFmtId="3" fontId="8" fillId="0" borderId="3" xfId="4" applyNumberFormat="1" applyFont="1" applyBorder="1"/>
    <xf numFmtId="3" fontId="23" fillId="0" borderId="2" xfId="4" applyNumberFormat="1" applyFont="1" applyBorder="1"/>
    <xf numFmtId="0" fontId="3" fillId="2" borderId="3" xfId="4" applyFont="1" applyFill="1" applyBorder="1"/>
    <xf numFmtId="0" fontId="3" fillId="0" borderId="3" xfId="0" applyFont="1" applyBorder="1" applyAlignment="1">
      <alignment horizontal="right"/>
    </xf>
    <xf numFmtId="3" fontId="0" fillId="0" borderId="0" xfId="0" applyNumberFormat="1"/>
    <xf numFmtId="0" fontId="3" fillId="0" borderId="14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2" borderId="23" xfId="0" applyFont="1" applyFill="1" applyBorder="1"/>
    <xf numFmtId="0" fontId="8" fillId="2" borderId="23" xfId="0" applyFont="1" applyFill="1" applyBorder="1"/>
    <xf numFmtId="0" fontId="3" fillId="0" borderId="23" xfId="0" applyFont="1" applyBorder="1"/>
    <xf numFmtId="0" fontId="3" fillId="0" borderId="24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165" fontId="6" fillId="0" borderId="0" xfId="0" applyNumberFormat="1" applyFont="1"/>
    <xf numFmtId="0" fontId="6" fillId="2" borderId="0" xfId="0" applyFont="1" applyFill="1"/>
    <xf numFmtId="1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0" fontId="24" fillId="0" borderId="3" xfId="0" applyFont="1" applyBorder="1"/>
    <xf numFmtId="0" fontId="24" fillId="0" borderId="11" xfId="0" applyFont="1" applyBorder="1"/>
    <xf numFmtId="0" fontId="25" fillId="0" borderId="3" xfId="0" applyFont="1" applyBorder="1"/>
    <xf numFmtId="0" fontId="26" fillId="0" borderId="3" xfId="0" applyFont="1" applyBorder="1"/>
    <xf numFmtId="0" fontId="25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7" fillId="0" borderId="0" xfId="0" applyFont="1"/>
    <xf numFmtId="0" fontId="6" fillId="3" borderId="3" xfId="0" applyFont="1" applyFill="1" applyBorder="1"/>
    <xf numFmtId="165" fontId="3" fillId="2" borderId="3" xfId="0" applyNumberFormat="1" applyFont="1" applyFill="1" applyBorder="1"/>
    <xf numFmtId="167" fontId="6" fillId="0" borderId="3" xfId="1" applyNumberFormat="1" applyFont="1" applyBorder="1"/>
    <xf numFmtId="0" fontId="21" fillId="0" borderId="3" xfId="0" applyFont="1" applyBorder="1"/>
    <xf numFmtId="165" fontId="27" fillId="4" borderId="3" xfId="0" applyNumberFormat="1" applyFont="1" applyFill="1" applyBorder="1"/>
    <xf numFmtId="0" fontId="27" fillId="4" borderId="3" xfId="0" applyFont="1" applyFill="1" applyBorder="1"/>
    <xf numFmtId="165" fontId="12" fillId="4" borderId="3" xfId="0" applyNumberFormat="1" applyFont="1" applyFill="1" applyBorder="1"/>
    <xf numFmtId="0" fontId="12" fillId="4" borderId="3" xfId="0" applyFont="1" applyFill="1" applyBorder="1"/>
    <xf numFmtId="1" fontId="12" fillId="4" borderId="3" xfId="0" applyNumberFormat="1" applyFont="1" applyFill="1" applyBorder="1"/>
    <xf numFmtId="1" fontId="27" fillId="4" borderId="3" xfId="0" applyNumberFormat="1" applyFont="1" applyFill="1" applyBorder="1"/>
    <xf numFmtId="165" fontId="27" fillId="0" borderId="3" xfId="0" applyNumberFormat="1" applyFont="1" applyBorder="1"/>
    <xf numFmtId="0" fontId="27" fillId="0" borderId="3" xfId="0" applyFont="1" applyBorder="1"/>
    <xf numFmtId="165" fontId="3" fillId="4" borderId="3" xfId="0" applyNumberFormat="1" applyFont="1" applyFill="1" applyBorder="1"/>
    <xf numFmtId="1" fontId="3" fillId="4" borderId="3" xfId="0" applyNumberFormat="1" applyFont="1" applyFill="1" applyBorder="1"/>
    <xf numFmtId="0" fontId="3" fillId="4" borderId="3" xfId="0" applyFont="1" applyFill="1" applyBorder="1"/>
    <xf numFmtId="0" fontId="8" fillId="4" borderId="3" xfId="0" applyFont="1" applyFill="1" applyBorder="1"/>
    <xf numFmtId="165" fontId="28" fillId="4" borderId="3" xfId="0" applyNumberFormat="1" applyFont="1" applyFill="1" applyBorder="1"/>
    <xf numFmtId="1" fontId="28" fillId="4" borderId="3" xfId="0" applyNumberFormat="1" applyFont="1" applyFill="1" applyBorder="1"/>
    <xf numFmtId="0" fontId="28" fillId="4" borderId="3" xfId="0" applyFont="1" applyFill="1" applyBorder="1"/>
    <xf numFmtId="165" fontId="28" fillId="0" borderId="3" xfId="0" applyNumberFormat="1" applyFont="1" applyBorder="1"/>
    <xf numFmtId="0" fontId="28" fillId="0" borderId="3" xfId="0" applyFont="1" applyBorder="1"/>
    <xf numFmtId="1" fontId="8" fillId="4" borderId="3" xfId="0" applyNumberFormat="1" applyFont="1" applyFill="1" applyBorder="1"/>
    <xf numFmtId="0" fontId="3" fillId="0" borderId="18" xfId="0" applyFont="1" applyBorder="1" applyAlignment="1">
      <alignment horizontal="centerContinuous"/>
    </xf>
    <xf numFmtId="0" fontId="3" fillId="0" borderId="30" xfId="0" applyFont="1" applyBorder="1" applyAlignment="1">
      <alignment horizontal="center"/>
    </xf>
    <xf numFmtId="0" fontId="3" fillId="0" borderId="21" xfId="0" applyFont="1" applyBorder="1"/>
    <xf numFmtId="166" fontId="6" fillId="0" borderId="3" xfId="4" applyNumberFormat="1" applyFont="1" applyBorder="1"/>
    <xf numFmtId="1" fontId="3" fillId="6" borderId="3" xfId="0" applyNumberFormat="1" applyFont="1" applyFill="1" applyBorder="1"/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4" fillId="0" borderId="5" xfId="0" applyFont="1" applyBorder="1" applyAlignment="1">
      <alignment horizontal="left"/>
    </xf>
    <xf numFmtId="0" fontId="31" fillId="0" borderId="3" xfId="0" applyFont="1" applyBorder="1"/>
    <xf numFmtId="1" fontId="30" fillId="0" borderId="3" xfId="0" applyNumberFormat="1" applyFont="1" applyBorder="1"/>
    <xf numFmtId="1" fontId="32" fillId="0" borderId="0" xfId="0" applyNumberFormat="1" applyFont="1"/>
    <xf numFmtId="165" fontId="30" fillId="0" borderId="3" xfId="0" applyNumberFormat="1" applyFont="1" applyBorder="1"/>
    <xf numFmtId="1" fontId="30" fillId="0" borderId="0" xfId="0" applyNumberFormat="1" applyFont="1"/>
    <xf numFmtId="165" fontId="29" fillId="0" borderId="3" xfId="0" applyNumberFormat="1" applyFont="1" applyBorder="1"/>
    <xf numFmtId="165" fontId="29" fillId="0" borderId="0" xfId="0" applyNumberFormat="1" applyFont="1"/>
    <xf numFmtId="1" fontId="29" fillId="0" borderId="3" xfId="0" applyNumberFormat="1" applyFont="1" applyBorder="1"/>
    <xf numFmtId="0" fontId="33" fillId="2" borderId="3" xfId="0" applyFont="1" applyFill="1" applyBorder="1"/>
    <xf numFmtId="1" fontId="33" fillId="0" borderId="0" xfId="0" applyNumberFormat="1" applyFont="1"/>
    <xf numFmtId="0" fontId="30" fillId="0" borderId="3" xfId="0" applyFont="1" applyBorder="1"/>
    <xf numFmtId="1" fontId="29" fillId="0" borderId="0" xfId="0" applyNumberFormat="1" applyFont="1"/>
    <xf numFmtId="0" fontId="30" fillId="2" borderId="3" xfId="0" applyFont="1" applyFill="1" applyBorder="1"/>
    <xf numFmtId="9" fontId="32" fillId="0" borderId="0" xfId="2" applyFont="1"/>
    <xf numFmtId="0" fontId="31" fillId="0" borderId="12" xfId="0" applyFont="1" applyBorder="1"/>
    <xf numFmtId="1" fontId="3" fillId="0" borderId="3" xfId="0" applyNumberFormat="1" applyFont="1" applyBorder="1" applyAlignment="1">
      <alignment horizontal="right"/>
    </xf>
    <xf numFmtId="1" fontId="26" fillId="0" borderId="3" xfId="0" applyNumberFormat="1" applyFont="1" applyBorder="1"/>
    <xf numFmtId="2" fontId="6" fillId="0" borderId="3" xfId="0" applyNumberFormat="1" applyFont="1" applyBorder="1"/>
    <xf numFmtId="1" fontId="8" fillId="0" borderId="0" xfId="0" applyNumberFormat="1" applyFont="1"/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/>
    <xf numFmtId="165" fontId="2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165" fontId="4" fillId="0" borderId="3" xfId="0" applyNumberFormat="1" applyFont="1" applyBorder="1"/>
    <xf numFmtId="1" fontId="4" fillId="0" borderId="3" xfId="0" applyNumberFormat="1" applyFont="1" applyBorder="1"/>
    <xf numFmtId="1" fontId="8" fillId="0" borderId="3" xfId="0" applyNumberFormat="1" applyFont="1" applyBorder="1" applyAlignment="1">
      <alignment horizontal="right"/>
    </xf>
    <xf numFmtId="0" fontId="4" fillId="0" borderId="13" xfId="0" applyFont="1" applyBorder="1"/>
    <xf numFmtId="1" fontId="4" fillId="0" borderId="13" xfId="0" applyNumberFormat="1" applyFont="1" applyBorder="1"/>
    <xf numFmtId="0" fontId="4" fillId="0" borderId="11" xfId="0" applyFont="1" applyBorder="1"/>
    <xf numFmtId="0" fontId="37" fillId="0" borderId="5" xfId="0" applyFont="1" applyBorder="1" applyAlignment="1">
      <alignment horizontal="left"/>
    </xf>
    <xf numFmtId="0" fontId="30" fillId="0" borderId="12" xfId="0" applyFont="1" applyBorder="1"/>
    <xf numFmtId="0" fontId="29" fillId="2" borderId="3" xfId="0" applyFont="1" applyFill="1" applyBorder="1"/>
    <xf numFmtId="0" fontId="37" fillId="0" borderId="0" xfId="0" applyFont="1"/>
    <xf numFmtId="0" fontId="7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" fontId="31" fillId="0" borderId="3" xfId="0" applyNumberFormat="1" applyFont="1" applyBorder="1"/>
    <xf numFmtId="0" fontId="2" fillId="0" borderId="0" xfId="0" applyFont="1"/>
    <xf numFmtId="0" fontId="39" fillId="0" borderId="0" xfId="0" applyFont="1"/>
    <xf numFmtId="0" fontId="40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/>
    <xf numFmtId="1" fontId="2" fillId="0" borderId="13" xfId="0" applyNumberFormat="1" applyFont="1" applyBorder="1"/>
    <xf numFmtId="0" fontId="2" fillId="0" borderId="11" xfId="0" applyFont="1" applyBorder="1"/>
    <xf numFmtId="3" fontId="3" fillId="0" borderId="3" xfId="4" applyNumberFormat="1" applyFont="1" applyBorder="1"/>
    <xf numFmtId="0" fontId="41" fillId="2" borderId="3" xfId="4" applyFont="1" applyFill="1" applyBorder="1"/>
    <xf numFmtId="0" fontId="3" fillId="0" borderId="2" xfId="4" applyFont="1" applyBorder="1"/>
    <xf numFmtId="3" fontId="3" fillId="0" borderId="2" xfId="4" applyNumberFormat="1" applyFont="1" applyBorder="1"/>
    <xf numFmtId="3" fontId="42" fillId="0" borderId="2" xfId="4" applyNumberFormat="1" applyFont="1" applyBorder="1"/>
    <xf numFmtId="0" fontId="43" fillId="0" borderId="0" xfId="0" applyFont="1"/>
    <xf numFmtId="0" fontId="44" fillId="0" borderId="0" xfId="0" applyFont="1"/>
    <xf numFmtId="0" fontId="6" fillId="0" borderId="23" xfId="0" applyFont="1" applyBorder="1"/>
    <xf numFmtId="0" fontId="6" fillId="0" borderId="14" xfId="0" applyFont="1" applyBorder="1" applyAlignment="1">
      <alignment horizontal="center"/>
    </xf>
    <xf numFmtId="165" fontId="6" fillId="2" borderId="3" xfId="0" applyNumberFormat="1" applyFont="1" applyFill="1" applyBorder="1"/>
    <xf numFmtId="14" fontId="11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wrapText="1"/>
    </xf>
    <xf numFmtId="1" fontId="2" fillId="0" borderId="3" xfId="0" applyNumberFormat="1" applyFont="1" applyBorder="1"/>
    <xf numFmtId="0" fontId="4" fillId="2" borderId="0" xfId="0" applyFont="1" applyFill="1"/>
    <xf numFmtId="0" fontId="2" fillId="2" borderId="0" xfId="0" applyFont="1" applyFill="1"/>
    <xf numFmtId="0" fontId="2" fillId="5" borderId="0" xfId="0" applyFont="1" applyFill="1"/>
    <xf numFmtId="0" fontId="8" fillId="7" borderId="3" xfId="0" applyFont="1" applyFill="1" applyBorder="1"/>
    <xf numFmtId="0" fontId="0" fillId="0" borderId="3" xfId="0" applyBorder="1"/>
    <xf numFmtId="0" fontId="6" fillId="0" borderId="3" xfId="0" applyFont="1" applyBorder="1" applyAlignment="1">
      <alignment horizontal="left"/>
    </xf>
    <xf numFmtId="0" fontId="46" fillId="0" borderId="0" xfId="0" applyFont="1"/>
    <xf numFmtId="1" fontId="6" fillId="2" borderId="3" xfId="0" applyNumberFormat="1" applyFont="1" applyFill="1" applyBorder="1"/>
    <xf numFmtId="1" fontId="3" fillId="2" borderId="3" xfId="0" applyNumberFormat="1" applyFont="1" applyFill="1" applyBorder="1"/>
    <xf numFmtId="0" fontId="3" fillId="2" borderId="0" xfId="0" applyFont="1" applyFill="1"/>
    <xf numFmtId="1" fontId="3" fillId="2" borderId="0" xfId="0" applyNumberFormat="1" applyFont="1" applyFill="1"/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7" fillId="0" borderId="3" xfId="0" applyFont="1" applyBorder="1"/>
    <xf numFmtId="0" fontId="8" fillId="0" borderId="23" xfId="0" applyFont="1" applyBorder="1"/>
    <xf numFmtId="0" fontId="48" fillId="2" borderId="0" xfId="0" applyFont="1" applyFill="1"/>
    <xf numFmtId="0" fontId="48" fillId="0" borderId="0" xfId="0" applyFont="1"/>
    <xf numFmtId="0" fontId="8" fillId="0" borderId="3" xfId="0" applyFont="1" applyBorder="1"/>
    <xf numFmtId="165" fontId="6" fillId="3" borderId="3" xfId="0" applyNumberFormat="1" applyFont="1" applyFill="1" applyBorder="1"/>
    <xf numFmtId="0" fontId="3" fillId="3" borderId="3" xfId="0" applyFont="1" applyFill="1" applyBorder="1"/>
    <xf numFmtId="0" fontId="8" fillId="3" borderId="3" xfId="0" applyFont="1" applyFill="1" applyBorder="1"/>
    <xf numFmtId="165" fontId="3" fillId="3" borderId="3" xfId="0" applyNumberFormat="1" applyFont="1" applyFill="1" applyBorder="1"/>
    <xf numFmtId="0" fontId="50" fillId="0" borderId="3" xfId="0" applyFont="1" applyBorder="1"/>
    <xf numFmtId="0" fontId="43" fillId="0" borderId="9" xfId="0" applyFont="1" applyBorder="1"/>
    <xf numFmtId="2" fontId="4" fillId="0" borderId="3" xfId="0" applyNumberFormat="1" applyFont="1" applyBorder="1"/>
    <xf numFmtId="0" fontId="4" fillId="0" borderId="9" xfId="0" applyFont="1" applyBorder="1"/>
    <xf numFmtId="1" fontId="4" fillId="0" borderId="9" xfId="0" applyNumberFormat="1" applyFont="1" applyBorder="1"/>
    <xf numFmtId="0" fontId="44" fillId="0" borderId="9" xfId="0" applyFont="1" applyBorder="1"/>
    <xf numFmtId="0" fontId="45" fillId="0" borderId="0" xfId="5"/>
    <xf numFmtId="0" fontId="11" fillId="0" borderId="0" xfId="5" applyFont="1" applyAlignment="1">
      <alignment horizontal="center"/>
    </xf>
    <xf numFmtId="0" fontId="11" fillId="0" borderId="0" xfId="5" applyFont="1" applyAlignment="1">
      <alignment horizontal="left"/>
    </xf>
    <xf numFmtId="0" fontId="51" fillId="0" borderId="0" xfId="5" applyFont="1" applyAlignment="1">
      <alignment horizontal="left"/>
    </xf>
    <xf numFmtId="0" fontId="11" fillId="0" borderId="0" xfId="5" applyFont="1" applyAlignment="1">
      <alignment horizontal="left" vertical="center" wrapText="1"/>
    </xf>
    <xf numFmtId="0" fontId="2" fillId="3" borderId="0" xfId="0" applyFont="1" applyFill="1"/>
    <xf numFmtId="0" fontId="3" fillId="5" borderId="3" xfId="0" applyFont="1" applyFill="1" applyBorder="1"/>
    <xf numFmtId="165" fontId="21" fillId="5" borderId="3" xfId="0" applyNumberFormat="1" applyFont="1" applyFill="1" applyBorder="1" applyAlignment="1">
      <alignment horizontal="right" vertical="center" wrapText="1"/>
    </xf>
    <xf numFmtId="0" fontId="21" fillId="5" borderId="3" xfId="0" applyFont="1" applyFill="1" applyBorder="1" applyAlignment="1">
      <alignment horizontal="right" vertical="center" wrapText="1"/>
    </xf>
    <xf numFmtId="0" fontId="21" fillId="5" borderId="3" xfId="0" applyFont="1" applyFill="1" applyBorder="1" applyAlignment="1">
      <alignment horizontal="right" vertical="center"/>
    </xf>
    <xf numFmtId="0" fontId="21" fillId="5" borderId="3" xfId="0" applyFont="1" applyFill="1" applyBorder="1" applyAlignment="1">
      <alignment horizontal="center" vertical="center" wrapText="1"/>
    </xf>
    <xf numFmtId="165" fontId="3" fillId="5" borderId="3" xfId="0" applyNumberFormat="1" applyFont="1" applyFill="1" applyBorder="1"/>
    <xf numFmtId="165" fontId="50" fillId="0" borderId="3" xfId="0" applyNumberFormat="1" applyFont="1" applyBorder="1"/>
    <xf numFmtId="0" fontId="50" fillId="0" borderId="12" xfId="0" applyFont="1" applyBorder="1"/>
    <xf numFmtId="169" fontId="4" fillId="0" borderId="3" xfId="0" applyNumberFormat="1" applyFont="1" applyBorder="1"/>
    <xf numFmtId="0" fontId="4" fillId="0" borderId="12" xfId="0" applyFont="1" applyBorder="1"/>
    <xf numFmtId="1" fontId="4" fillId="0" borderId="12" xfId="0" applyNumberFormat="1" applyFont="1" applyBorder="1"/>
    <xf numFmtId="0" fontId="26" fillId="0" borderId="12" xfId="0" applyFont="1" applyBorder="1"/>
    <xf numFmtId="169" fontId="0" fillId="0" borderId="3" xfId="0" applyNumberFormat="1" applyBorder="1"/>
    <xf numFmtId="0" fontId="12" fillId="7" borderId="3" xfId="0" applyFont="1" applyFill="1" applyBorder="1"/>
    <xf numFmtId="165" fontId="12" fillId="7" borderId="3" xfId="0" applyNumberFormat="1" applyFont="1" applyFill="1" applyBorder="1"/>
    <xf numFmtId="0" fontId="12" fillId="2" borderId="3" xfId="0" applyFont="1" applyFill="1" applyBorder="1"/>
    <xf numFmtId="165" fontId="12" fillId="0" borderId="0" xfId="0" applyNumberFormat="1" applyFont="1"/>
    <xf numFmtId="2" fontId="12" fillId="0" borderId="3" xfId="0" applyNumberFormat="1" applyFont="1" applyBorder="1"/>
    <xf numFmtId="0" fontId="52" fillId="0" borderId="0" xfId="0" applyFont="1"/>
    <xf numFmtId="165" fontId="8" fillId="7" borderId="3" xfId="0" applyNumberFormat="1" applyFont="1" applyFill="1" applyBorder="1"/>
    <xf numFmtId="1" fontId="8" fillId="7" borderId="3" xfId="0" applyNumberFormat="1" applyFont="1" applyFill="1" applyBorder="1"/>
    <xf numFmtId="0" fontId="8" fillId="0" borderId="9" xfId="0" applyFont="1" applyBorder="1"/>
    <xf numFmtId="0" fontId="6" fillId="0" borderId="3" xfId="7" applyFont="1" applyBorder="1"/>
    <xf numFmtId="0" fontId="2" fillId="0" borderId="0" xfId="7"/>
    <xf numFmtId="0" fontId="6" fillId="6" borderId="3" xfId="7" applyFont="1" applyFill="1" applyBorder="1"/>
    <xf numFmtId="165" fontId="6" fillId="6" borderId="3" xfId="7" applyNumberFormat="1" applyFont="1" applyFill="1" applyBorder="1"/>
    <xf numFmtId="1" fontId="6" fillId="6" borderId="3" xfId="7" applyNumberFormat="1" applyFont="1" applyFill="1" applyBorder="1"/>
    <xf numFmtId="0" fontId="6" fillId="2" borderId="3" xfId="7" applyFont="1" applyFill="1" applyBorder="1"/>
    <xf numFmtId="165" fontId="6" fillId="0" borderId="3" xfId="7" applyNumberFormat="1" applyFont="1" applyBorder="1"/>
    <xf numFmtId="1" fontId="3" fillId="0" borderId="3" xfId="7" applyNumberFormat="1" applyFont="1" applyBorder="1"/>
    <xf numFmtId="1" fontId="3" fillId="6" borderId="3" xfId="7" applyNumberFormat="1" applyFont="1" applyFill="1" applyBorder="1"/>
    <xf numFmtId="0" fontId="8" fillId="0" borderId="3" xfId="7" applyFont="1" applyBorder="1"/>
    <xf numFmtId="0" fontId="3" fillId="0" borderId="3" xfId="7" applyFont="1" applyBorder="1"/>
    <xf numFmtId="0" fontId="8" fillId="6" borderId="3" xfId="7" applyFont="1" applyFill="1" applyBorder="1"/>
    <xf numFmtId="0" fontId="3" fillId="6" borderId="3" xfId="7" applyFont="1" applyFill="1" applyBorder="1"/>
    <xf numFmtId="165" fontId="3" fillId="6" borderId="3" xfId="7" applyNumberFormat="1" applyFont="1" applyFill="1" applyBorder="1"/>
    <xf numFmtId="0" fontId="3" fillId="6" borderId="3" xfId="7" applyFont="1" applyFill="1" applyBorder="1" applyAlignment="1">
      <alignment horizontal="right"/>
    </xf>
    <xf numFmtId="0" fontId="8" fillId="2" borderId="3" xfId="7" applyFont="1" applyFill="1" applyBorder="1"/>
    <xf numFmtId="165" fontId="3" fillId="0" borderId="3" xfId="7" applyNumberFormat="1" applyFont="1" applyBorder="1"/>
    <xf numFmtId="0" fontId="3" fillId="6" borderId="12" xfId="7" applyFont="1" applyFill="1" applyBorder="1"/>
    <xf numFmtId="1" fontId="8" fillId="0" borderId="3" xfId="7" applyNumberFormat="1" applyFont="1" applyBorder="1"/>
    <xf numFmtId="0" fontId="3" fillId="0" borderId="0" xfId="0" applyFont="1" applyAlignment="1">
      <alignment horizontal="left"/>
    </xf>
    <xf numFmtId="0" fontId="6" fillId="6" borderId="0" xfId="7" applyFont="1" applyFill="1"/>
    <xf numFmtId="1" fontId="3" fillId="6" borderId="0" xfId="7" applyNumberFormat="1" applyFont="1" applyFill="1"/>
    <xf numFmtId="0" fontId="3" fillId="6" borderId="0" xfId="7" applyFont="1" applyFill="1" applyAlignment="1">
      <alignment horizontal="left"/>
    </xf>
    <xf numFmtId="0" fontId="3" fillId="6" borderId="0" xfId="7" applyFont="1" applyFill="1"/>
    <xf numFmtId="165" fontId="3" fillId="0" borderId="3" xfId="7" applyNumberFormat="1" applyFont="1" applyBorder="1" applyAlignment="1">
      <alignment horizontal="right"/>
    </xf>
    <xf numFmtId="0" fontId="3" fillId="0" borderId="0" xfId="7" applyFont="1"/>
    <xf numFmtId="1" fontId="4" fillId="0" borderId="0" xfId="0" applyNumberFormat="1" applyFont="1"/>
    <xf numFmtId="0" fontId="12" fillId="8" borderId="16" xfId="7" applyFont="1" applyFill="1" applyBorder="1"/>
    <xf numFmtId="165" fontId="12" fillId="8" borderId="16" xfId="7" applyNumberFormat="1" applyFont="1" applyFill="1" applyBorder="1"/>
    <xf numFmtId="1" fontId="12" fillId="8" borderId="16" xfId="7" applyNumberFormat="1" applyFont="1" applyFill="1" applyBorder="1"/>
    <xf numFmtId="1" fontId="12" fillId="0" borderId="0" xfId="7" applyNumberFormat="1" applyFont="1"/>
    <xf numFmtId="0" fontId="12" fillId="8" borderId="33" xfId="7" applyFont="1" applyFill="1" applyBorder="1"/>
    <xf numFmtId="0" fontId="12" fillId="8" borderId="34" xfId="7" applyFont="1" applyFill="1" applyBorder="1"/>
    <xf numFmtId="0" fontId="12" fillId="8" borderId="35" xfId="7" applyFont="1" applyFill="1" applyBorder="1"/>
    <xf numFmtId="0" fontId="4" fillId="0" borderId="0" xfId="7" applyFont="1"/>
    <xf numFmtId="0" fontId="12" fillId="7" borderId="16" xfId="7" applyFont="1" applyFill="1" applyBorder="1"/>
    <xf numFmtId="1" fontId="12" fillId="7" borderId="16" xfId="7" applyNumberFormat="1" applyFont="1" applyFill="1" applyBorder="1"/>
    <xf numFmtId="0" fontId="12" fillId="0" borderId="33" xfId="7" applyFont="1" applyBorder="1" applyProtection="1">
      <protection locked="0"/>
    </xf>
    <xf numFmtId="165" fontId="12" fillId="0" borderId="16" xfId="7" applyNumberFormat="1" applyFont="1" applyBorder="1"/>
    <xf numFmtId="0" fontId="12" fillId="0" borderId="16" xfId="7" applyFont="1" applyBorder="1"/>
    <xf numFmtId="0" fontId="12" fillId="0" borderId="34" xfId="7" applyFont="1" applyBorder="1"/>
    <xf numFmtId="0" fontId="12" fillId="0" borderId="35" xfId="7" applyFont="1" applyBorder="1" applyProtection="1">
      <protection locked="0"/>
    </xf>
    <xf numFmtId="0" fontId="4" fillId="0" borderId="0" xfId="7" applyFont="1" applyProtection="1">
      <protection locked="0"/>
    </xf>
    <xf numFmtId="0" fontId="12" fillId="0" borderId="16" xfId="7" applyFont="1" applyBorder="1" applyProtection="1">
      <protection locked="0"/>
    </xf>
    <xf numFmtId="1" fontId="12" fillId="0" borderId="16" xfId="7" applyNumberFormat="1" applyFont="1" applyBorder="1"/>
    <xf numFmtId="1" fontId="12" fillId="0" borderId="34" xfId="7" applyNumberFormat="1" applyFont="1" applyBorder="1"/>
    <xf numFmtId="0" fontId="8" fillId="0" borderId="0" xfId="7" applyFont="1" applyAlignment="1">
      <alignment horizontal="left"/>
    </xf>
    <xf numFmtId="0" fontId="2" fillId="0" borderId="0" xfId="7" applyProtection="1">
      <protection locked="0"/>
    </xf>
    <xf numFmtId="0" fontId="8" fillId="8" borderId="16" xfId="7" applyFont="1" applyFill="1" applyBorder="1"/>
    <xf numFmtId="165" fontId="8" fillId="8" borderId="16" xfId="7" applyNumberFormat="1" applyFont="1" applyFill="1" applyBorder="1"/>
    <xf numFmtId="0" fontId="8" fillId="0" borderId="0" xfId="7" applyFont="1"/>
    <xf numFmtId="0" fontId="8" fillId="8" borderId="33" xfId="7" applyFont="1" applyFill="1" applyBorder="1"/>
    <xf numFmtId="1" fontId="8" fillId="8" borderId="16" xfId="7" applyNumberFormat="1" applyFont="1" applyFill="1" applyBorder="1"/>
    <xf numFmtId="1" fontId="8" fillId="8" borderId="34" xfId="7" applyNumberFormat="1" applyFont="1" applyFill="1" applyBorder="1"/>
    <xf numFmtId="0" fontId="8" fillId="8" borderId="35" xfId="7" applyFont="1" applyFill="1" applyBorder="1"/>
    <xf numFmtId="165" fontId="8" fillId="8" borderId="3" xfId="7" applyNumberFormat="1" applyFont="1" applyFill="1" applyBorder="1"/>
    <xf numFmtId="1" fontId="8" fillId="8" borderId="3" xfId="7" applyNumberFormat="1" applyFont="1" applyFill="1" applyBorder="1"/>
    <xf numFmtId="0" fontId="8" fillId="0" borderId="16" xfId="7" applyFont="1" applyBorder="1"/>
    <xf numFmtId="165" fontId="8" fillId="0" borderId="16" xfId="7" applyNumberFormat="1" applyFont="1" applyBorder="1"/>
    <xf numFmtId="1" fontId="8" fillId="0" borderId="16" xfId="7" applyNumberFormat="1" applyFont="1" applyBorder="1"/>
    <xf numFmtId="1" fontId="8" fillId="0" borderId="0" xfId="7" applyNumberFormat="1" applyFont="1"/>
    <xf numFmtId="0" fontId="8" fillId="0" borderId="33" xfId="7" applyFont="1" applyBorder="1" applyProtection="1">
      <protection locked="0"/>
    </xf>
    <xf numFmtId="0" fontId="8" fillId="0" borderId="16" xfId="7" applyFont="1" applyBorder="1" applyProtection="1">
      <protection locked="0"/>
    </xf>
    <xf numFmtId="0" fontId="8" fillId="0" borderId="34" xfId="7" applyFont="1" applyBorder="1" applyProtection="1">
      <protection locked="0"/>
    </xf>
    <xf numFmtId="0" fontId="8" fillId="0" borderId="35" xfId="7" applyFont="1" applyBorder="1" applyProtection="1">
      <protection locked="0"/>
    </xf>
    <xf numFmtId="1" fontId="8" fillId="7" borderId="16" xfId="7" applyNumberFormat="1" applyFont="1" applyFill="1" applyBorder="1"/>
    <xf numFmtId="1" fontId="8" fillId="7" borderId="34" xfId="7" applyNumberFormat="1" applyFont="1" applyFill="1" applyBorder="1"/>
    <xf numFmtId="165" fontId="8" fillId="7" borderId="16" xfId="7" applyNumberFormat="1" applyFont="1" applyFill="1" applyBorder="1"/>
    <xf numFmtId="0" fontId="8" fillId="7" borderId="16" xfId="7" applyFont="1" applyFill="1" applyBorder="1"/>
    <xf numFmtId="0" fontId="8" fillId="7" borderId="34" xfId="7" applyFont="1" applyFill="1" applyBorder="1"/>
    <xf numFmtId="1" fontId="8" fillId="7" borderId="16" xfId="7" applyNumberFormat="1" applyFont="1" applyFill="1" applyBorder="1" applyProtection="1">
      <protection locked="0"/>
    </xf>
    <xf numFmtId="0" fontId="8" fillId="0" borderId="26" xfId="7" applyFont="1" applyBorder="1"/>
    <xf numFmtId="165" fontId="8" fillId="0" borderId="26" xfId="7" applyNumberFormat="1" applyFont="1" applyBorder="1"/>
    <xf numFmtId="0" fontId="8" fillId="0" borderId="43" xfId="7" applyFont="1" applyBorder="1" applyProtection="1">
      <protection locked="0"/>
    </xf>
    <xf numFmtId="0" fontId="8" fillId="0" borderId="26" xfId="7" applyFont="1" applyBorder="1" applyProtection="1">
      <protection locked="0"/>
    </xf>
    <xf numFmtId="0" fontId="8" fillId="0" borderId="44" xfId="7" applyFont="1" applyBorder="1" applyProtection="1">
      <protection locked="0"/>
    </xf>
    <xf numFmtId="0" fontId="8" fillId="0" borderId="27" xfId="7" applyFont="1" applyBorder="1" applyProtection="1">
      <protection locked="0"/>
    </xf>
    <xf numFmtId="0" fontId="8" fillId="0" borderId="3" xfId="7" applyFont="1" applyBorder="1" applyProtection="1">
      <protection locked="0"/>
    </xf>
    <xf numFmtId="1" fontId="8" fillId="7" borderId="3" xfId="7" applyNumberFormat="1" applyFont="1" applyFill="1" applyBorder="1"/>
    <xf numFmtId="0" fontId="53" fillId="0" borderId="3" xfId="0" applyFont="1" applyBorder="1"/>
    <xf numFmtId="0" fontId="54" fillId="0" borderId="0" xfId="0" applyFont="1"/>
    <xf numFmtId="165" fontId="53" fillId="0" borderId="3" xfId="0" applyNumberFormat="1" applyFont="1" applyBorder="1"/>
    <xf numFmtId="0" fontId="55" fillId="0" borderId="3" xfId="0" applyFont="1" applyBorder="1"/>
    <xf numFmtId="1" fontId="53" fillId="0" borderId="3" xfId="0" applyNumberFormat="1" applyFont="1" applyBorder="1"/>
    <xf numFmtId="0" fontId="57" fillId="0" borderId="0" xfId="0" applyFont="1"/>
    <xf numFmtId="0" fontId="52" fillId="0" borderId="3" xfId="0" applyFont="1" applyBorder="1"/>
    <xf numFmtId="0" fontId="56" fillId="0" borderId="3" xfId="0" applyFont="1" applyBorder="1"/>
    <xf numFmtId="165" fontId="56" fillId="0" borderId="3" xfId="0" applyNumberFormat="1" applyFont="1" applyBorder="1"/>
    <xf numFmtId="1" fontId="56" fillId="0" borderId="3" xfId="0" applyNumberFormat="1" applyFont="1" applyBorder="1"/>
    <xf numFmtId="0" fontId="6" fillId="3" borderId="0" xfId="0" applyFont="1" applyFill="1"/>
    <xf numFmtId="0" fontId="3" fillId="3" borderId="0" xfId="0" applyFont="1" applyFill="1"/>
    <xf numFmtId="0" fontId="3" fillId="5" borderId="0" xfId="0" applyFont="1" applyFill="1"/>
    <xf numFmtId="0" fontId="58" fillId="0" borderId="0" xfId="0" applyFont="1"/>
    <xf numFmtId="0" fontId="59" fillId="0" borderId="0" xfId="0" applyFont="1"/>
    <xf numFmtId="0" fontId="6" fillId="0" borderId="14" xfId="0" applyFont="1" applyBorder="1"/>
    <xf numFmtId="0" fontId="8" fillId="0" borderId="23" xfId="0" applyFont="1" applyBorder="1" applyAlignment="1">
      <alignment horizontal="right"/>
    </xf>
    <xf numFmtId="0" fontId="2" fillId="0" borderId="14" xfId="0" applyFont="1" applyBorder="1"/>
    <xf numFmtId="0" fontId="3" fillId="0" borderId="14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" fontId="3" fillId="0" borderId="14" xfId="0" applyNumberFormat="1" applyFont="1" applyBorder="1" applyAlignment="1">
      <alignment horizontal="right"/>
    </xf>
    <xf numFmtId="1" fontId="3" fillId="0" borderId="17" xfId="0" applyNumberFormat="1" applyFont="1" applyBorder="1"/>
    <xf numFmtId="0" fontId="3" fillId="0" borderId="24" xfId="0" applyFont="1" applyBorder="1" applyAlignment="1">
      <alignment horizontal="right"/>
    </xf>
    <xf numFmtId="1" fontId="3" fillId="0" borderId="15" xfId="0" applyNumberFormat="1" applyFont="1" applyBorder="1" applyAlignment="1">
      <alignment horizontal="right"/>
    </xf>
    <xf numFmtId="1" fontId="3" fillId="0" borderId="17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3" xfId="0" applyFont="1" applyBorder="1"/>
    <xf numFmtId="0" fontId="6" fillId="0" borderId="12" xfId="0" applyFont="1" applyBorder="1"/>
    <xf numFmtId="165" fontId="6" fillId="0" borderId="9" xfId="0" applyNumberFormat="1" applyFont="1" applyBorder="1"/>
    <xf numFmtId="0" fontId="8" fillId="0" borderId="11" xfId="0" applyFont="1" applyBorder="1"/>
    <xf numFmtId="0" fontId="60" fillId="0" borderId="3" xfId="0" applyFont="1" applyBorder="1" applyAlignment="1">
      <alignment horizontal="center"/>
    </xf>
    <xf numFmtId="0" fontId="60" fillId="0" borderId="3" xfId="0" applyFont="1" applyBorder="1"/>
    <xf numFmtId="165" fontId="3" fillId="0" borderId="15" xfId="0" applyNumberFormat="1" applyFont="1" applyBorder="1"/>
    <xf numFmtId="0" fontId="8" fillId="6" borderId="3" xfId="0" applyFont="1" applyFill="1" applyBorder="1"/>
    <xf numFmtId="2" fontId="3" fillId="0" borderId="3" xfId="0" applyNumberFormat="1" applyFont="1" applyBorder="1"/>
    <xf numFmtId="2" fontId="6" fillId="0" borderId="14" xfId="0" applyNumberFormat="1" applyFont="1" applyBorder="1"/>
    <xf numFmtId="2" fontId="2" fillId="0" borderId="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0" fontId="11" fillId="0" borderId="0" xfId="7" applyFont="1" applyAlignment="1">
      <alignment horizontal="center"/>
    </xf>
    <xf numFmtId="0" fontId="11" fillId="0" borderId="0" xfId="7" applyFont="1" applyAlignment="1">
      <alignment horizontal="left"/>
    </xf>
    <xf numFmtId="165" fontId="2" fillId="0" borderId="0" xfId="7" applyNumberFormat="1"/>
    <xf numFmtId="0" fontId="51" fillId="0" borderId="0" xfId="7" applyFont="1" applyAlignment="1">
      <alignment horizontal="left"/>
    </xf>
    <xf numFmtId="0" fontId="11" fillId="0" borderId="0" xfId="7" applyFont="1" applyAlignment="1">
      <alignment horizontal="left" vertical="center" wrapText="1"/>
    </xf>
    <xf numFmtId="0" fontId="4" fillId="0" borderId="2" xfId="0" applyFont="1" applyBorder="1"/>
    <xf numFmtId="0" fontId="6" fillId="7" borderId="3" xfId="0" applyFont="1" applyFill="1" applyBorder="1"/>
    <xf numFmtId="0" fontId="15" fillId="0" borderId="0" xfId="7" applyFont="1" applyProtection="1">
      <protection locked="0"/>
    </xf>
    <xf numFmtId="0" fontId="12" fillId="0" borderId="0" xfId="7" applyFont="1" applyAlignment="1" applyProtection="1">
      <alignment horizontal="right"/>
      <protection locked="0"/>
    </xf>
    <xf numFmtId="0" fontId="11" fillId="0" borderId="0" xfId="7" applyFont="1" applyProtection="1">
      <protection locked="0"/>
    </xf>
    <xf numFmtId="0" fontId="11" fillId="0" borderId="0" xfId="7" applyFont="1" applyAlignment="1" applyProtection="1">
      <alignment wrapText="1"/>
      <protection locked="0"/>
    </xf>
    <xf numFmtId="0" fontId="5" fillId="0" borderId="0" xfId="7" applyFont="1" applyProtection="1">
      <protection locked="0"/>
    </xf>
    <xf numFmtId="0" fontId="12" fillId="0" borderId="0" xfId="7" applyFont="1" applyProtection="1">
      <protection locked="0"/>
    </xf>
    <xf numFmtId="0" fontId="5" fillId="0" borderId="25" xfId="7" applyFont="1" applyBorder="1" applyAlignment="1" applyProtection="1">
      <alignment horizontal="left"/>
      <protection locked="0"/>
    </xf>
    <xf numFmtId="0" fontId="8" fillId="0" borderId="26" xfId="7" applyFont="1" applyBorder="1" applyAlignment="1">
      <alignment horizontal="center"/>
    </xf>
    <xf numFmtId="0" fontId="2" fillId="0" borderId="0" xfId="7" applyAlignment="1" applyProtection="1">
      <alignment horizontal="center"/>
      <protection locked="0"/>
    </xf>
    <xf numFmtId="0" fontId="8" fillId="0" borderId="26" xfId="7" applyFont="1" applyBorder="1" applyAlignment="1" applyProtection="1">
      <alignment horizontal="center"/>
      <protection locked="0"/>
    </xf>
    <xf numFmtId="0" fontId="8" fillId="0" borderId="27" xfId="7" applyFont="1" applyBorder="1" applyAlignment="1" applyProtection="1">
      <alignment horizontal="center"/>
      <protection locked="0"/>
    </xf>
    <xf numFmtId="0" fontId="8" fillId="0" borderId="28" xfId="7" applyFont="1" applyBorder="1"/>
    <xf numFmtId="0" fontId="8" fillId="0" borderId="28" xfId="7" applyFont="1" applyBorder="1" applyAlignment="1">
      <alignment horizontal="center"/>
    </xf>
    <xf numFmtId="0" fontId="8" fillId="0" borderId="28" xfId="7" applyFont="1" applyBorder="1" applyAlignment="1" applyProtection="1">
      <alignment horizontal="center"/>
      <protection locked="0"/>
    </xf>
    <xf numFmtId="0" fontId="8" fillId="0" borderId="29" xfId="7" applyFont="1" applyBorder="1" applyAlignment="1" applyProtection="1">
      <alignment horizontal="center"/>
      <protection locked="0"/>
    </xf>
    <xf numFmtId="2" fontId="12" fillId="7" borderId="16" xfId="7" applyNumberFormat="1" applyFont="1" applyFill="1" applyBorder="1"/>
    <xf numFmtId="0" fontId="4" fillId="3" borderId="0" xfId="0" applyFont="1" applyFill="1"/>
    <xf numFmtId="2" fontId="62" fillId="0" borderId="0" xfId="0" applyNumberFormat="1" applyFont="1" applyAlignment="1">
      <alignment wrapText="1"/>
    </xf>
    <xf numFmtId="2" fontId="29" fillId="0" borderId="0" xfId="0" applyNumberFormat="1" applyFont="1" applyAlignment="1">
      <alignment wrapText="1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2" fontId="6" fillId="0" borderId="23" xfId="0" applyNumberFormat="1" applyFont="1" applyBorder="1"/>
    <xf numFmtId="2" fontId="6" fillId="0" borderId="0" xfId="0" applyNumberFormat="1" applyFont="1"/>
    <xf numFmtId="2" fontId="3" fillId="0" borderId="14" xfId="0" applyNumberFormat="1" applyFont="1" applyBorder="1"/>
    <xf numFmtId="2" fontId="8" fillId="0" borderId="23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2" fillId="10" borderId="3" xfId="0" applyNumberFormat="1" applyFont="1" applyFill="1" applyBorder="1" applyAlignment="1">
      <alignment horizontal="right" vertical="center"/>
    </xf>
    <xf numFmtId="2" fontId="2" fillId="10" borderId="14" xfId="0" applyNumberFormat="1" applyFont="1" applyFill="1" applyBorder="1" applyAlignment="1">
      <alignment horizontal="right" vertical="center"/>
    </xf>
    <xf numFmtId="2" fontId="2" fillId="0" borderId="0" xfId="0" applyNumberFormat="1" applyFont="1"/>
    <xf numFmtId="2" fontId="3" fillId="0" borderId="3" xfId="0" applyNumberFormat="1" applyFont="1" applyBorder="1" applyAlignment="1">
      <alignment horizontal="right"/>
    </xf>
    <xf numFmtId="2" fontId="3" fillId="0" borderId="14" xfId="0" applyNumberFormat="1" applyFont="1" applyBorder="1" applyAlignment="1">
      <alignment horizontal="right"/>
    </xf>
    <xf numFmtId="0" fontId="2" fillId="10" borderId="3" xfId="0" applyFont="1" applyFill="1" applyBorder="1" applyAlignment="1">
      <alignment horizontal="right" vertical="center"/>
    </xf>
    <xf numFmtId="0" fontId="2" fillId="10" borderId="14" xfId="0" applyFont="1" applyFill="1" applyBorder="1" applyAlignment="1">
      <alignment horizontal="right" vertical="center"/>
    </xf>
    <xf numFmtId="2" fontId="3" fillId="0" borderId="23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2" fontId="8" fillId="0" borderId="11" xfId="0" applyNumberFormat="1" applyFont="1" applyBorder="1" applyAlignment="1">
      <alignment horizontal="right"/>
    </xf>
    <xf numFmtId="2" fontId="2" fillId="10" borderId="11" xfId="0" applyNumberFormat="1" applyFont="1" applyFill="1" applyBorder="1" applyAlignment="1">
      <alignment horizontal="right" vertical="center"/>
    </xf>
    <xf numFmtId="1" fontId="3" fillId="0" borderId="2" xfId="0" applyNumberFormat="1" applyFont="1" applyBorder="1" applyAlignment="1">
      <alignment horizontal="right"/>
    </xf>
    <xf numFmtId="0" fontId="61" fillId="9" borderId="0" xfId="8"/>
    <xf numFmtId="1" fontId="12" fillId="7" borderId="3" xfId="0" applyNumberFormat="1" applyFont="1" applyFill="1" applyBorder="1"/>
    <xf numFmtId="2" fontId="8" fillId="6" borderId="3" xfId="0" applyNumberFormat="1" applyFont="1" applyFill="1" applyBorder="1"/>
    <xf numFmtId="0" fontId="30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0" fillId="0" borderId="0" xfId="0" applyAlignment="1">
      <alignment horizontal="left"/>
    </xf>
    <xf numFmtId="0" fontId="6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3" xfId="0" applyFont="1" applyBorder="1"/>
    <xf numFmtId="0" fontId="2" fillId="0" borderId="11" xfId="0" applyFont="1" applyBorder="1"/>
    <xf numFmtId="0" fontId="11" fillId="0" borderId="0" xfId="7" applyFont="1" applyAlignment="1">
      <alignment horizontal="center"/>
    </xf>
    <xf numFmtId="0" fontId="51" fillId="0" borderId="0" xfId="7" applyFont="1" applyAlignment="1">
      <alignment horizontal="center"/>
    </xf>
    <xf numFmtId="0" fontId="11" fillId="0" borderId="0" xfId="7" applyFont="1" applyAlignment="1">
      <alignment horizontal="center" wrapText="1"/>
    </xf>
    <xf numFmtId="0" fontId="11" fillId="0" borderId="0" xfId="7" applyFont="1" applyAlignment="1">
      <alignment horizontal="center" vertical="center" wrapText="1"/>
    </xf>
    <xf numFmtId="0" fontId="11" fillId="0" borderId="0" xfId="5" applyFont="1" applyAlignment="1">
      <alignment horizontal="center"/>
    </xf>
    <xf numFmtId="0" fontId="51" fillId="0" borderId="0" xfId="5" applyFont="1" applyAlignment="1">
      <alignment horizontal="center"/>
    </xf>
    <xf numFmtId="0" fontId="11" fillId="0" borderId="0" xfId="5" applyFont="1" applyAlignment="1">
      <alignment horizontal="center" wrapText="1"/>
    </xf>
    <xf numFmtId="0" fontId="3" fillId="6" borderId="3" xfId="7" applyFont="1" applyFill="1" applyBorder="1" applyAlignment="1">
      <alignment horizontal="left"/>
    </xf>
    <xf numFmtId="0" fontId="11" fillId="0" borderId="0" xfId="5" applyFont="1" applyAlignment="1">
      <alignment horizontal="center" vertical="center" wrapText="1"/>
    </xf>
    <xf numFmtId="0" fontId="3" fillId="0" borderId="12" xfId="7" applyFont="1" applyBorder="1" applyAlignment="1">
      <alignment horizontal="left"/>
    </xf>
    <xf numFmtId="0" fontId="2" fillId="0" borderId="13" xfId="7" applyBorder="1"/>
    <xf numFmtId="0" fontId="2" fillId="0" borderId="11" xfId="7" applyBorder="1"/>
    <xf numFmtId="0" fontId="3" fillId="6" borderId="12" xfId="7" applyFont="1" applyFill="1" applyBorder="1" applyAlignment="1">
      <alignment horizontal="left"/>
    </xf>
    <xf numFmtId="0" fontId="3" fillId="6" borderId="13" xfId="7" applyFont="1" applyFill="1" applyBorder="1" applyAlignment="1">
      <alignment horizontal="left"/>
    </xf>
    <xf numFmtId="0" fontId="3" fillId="6" borderId="11" xfId="7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8" fillId="0" borderId="36" xfId="7" applyFont="1" applyBorder="1" applyAlignment="1" applyProtection="1">
      <alignment horizontal="left"/>
      <protection locked="0"/>
    </xf>
    <xf numFmtId="0" fontId="8" fillId="0" borderId="37" xfId="7" applyFont="1" applyBorder="1" applyAlignment="1" applyProtection="1">
      <alignment horizontal="left"/>
      <protection locked="0"/>
    </xf>
    <xf numFmtId="0" fontId="8" fillId="0" borderId="35" xfId="7" applyFont="1" applyBorder="1" applyAlignment="1" applyProtection="1">
      <alignment horizontal="left"/>
      <protection locked="0"/>
    </xf>
    <xf numFmtId="0" fontId="8" fillId="0" borderId="36" xfId="7" applyFont="1" applyBorder="1" applyAlignment="1">
      <alignment horizontal="left"/>
    </xf>
    <xf numFmtId="0" fontId="8" fillId="0" borderId="37" xfId="7" applyFont="1" applyBorder="1" applyAlignment="1">
      <alignment horizontal="left"/>
    </xf>
    <xf numFmtId="0" fontId="8" fillId="0" borderId="35" xfId="7" applyFont="1" applyBorder="1" applyAlignment="1">
      <alignment horizontal="left"/>
    </xf>
    <xf numFmtId="0" fontId="8" fillId="0" borderId="41" xfId="7" applyFont="1" applyBorder="1" applyAlignment="1" applyProtection="1">
      <alignment horizontal="left"/>
      <protection locked="0"/>
    </xf>
    <xf numFmtId="0" fontId="8" fillId="0" borderId="42" xfId="7" applyFont="1" applyBorder="1" applyAlignment="1" applyProtection="1">
      <alignment horizontal="left"/>
      <protection locked="0"/>
    </xf>
    <xf numFmtId="0" fontId="8" fillId="0" borderId="40" xfId="7" applyFont="1" applyBorder="1" applyAlignment="1" applyProtection="1">
      <alignment horizontal="left"/>
      <protection locked="0"/>
    </xf>
    <xf numFmtId="0" fontId="8" fillId="0" borderId="39" xfId="7" applyFont="1" applyBorder="1" applyAlignment="1" applyProtection="1">
      <alignment horizontal="left"/>
      <protection locked="0"/>
    </xf>
    <xf numFmtId="0" fontId="8" fillId="0" borderId="27" xfId="7" applyFont="1" applyBorder="1" applyAlignment="1" applyProtection="1">
      <alignment horizontal="left"/>
      <protection locked="0"/>
    </xf>
    <xf numFmtId="0" fontId="8" fillId="0" borderId="38" xfId="7" applyFont="1" applyBorder="1" applyAlignment="1" applyProtection="1">
      <alignment horizontal="left"/>
      <protection locked="0"/>
    </xf>
    <xf numFmtId="0" fontId="11" fillId="0" borderId="25" xfId="7" applyFont="1" applyBorder="1" applyAlignment="1">
      <alignment horizontal="left" wrapText="1"/>
    </xf>
    <xf numFmtId="0" fontId="12" fillId="0" borderId="16" xfId="7" applyFont="1" applyBorder="1" applyAlignment="1" applyProtection="1">
      <alignment horizontal="left"/>
      <protection locked="0"/>
    </xf>
    <xf numFmtId="0" fontId="12" fillId="0" borderId="16" xfId="7" applyFont="1" applyBorder="1" applyAlignment="1">
      <alignment horizontal="left"/>
    </xf>
    <xf numFmtId="0" fontId="56" fillId="0" borderId="3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0" fillId="0" borderId="32" xfId="0" applyBorder="1"/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49" fontId="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10">
    <cellStyle name="Percent 2" xfId="3" xr:uid="{00000000-0005-0000-0000-000003000000}"/>
    <cellStyle name="Запетая" xfId="1" builtinId="3"/>
    <cellStyle name="Неутрален" xfId="8" builtinId="28"/>
    <cellStyle name="Нормален" xfId="0" builtinId="0"/>
    <cellStyle name="Нормален 2" xfId="5" xr:uid="{00000000-0005-0000-0000-000004000000}"/>
    <cellStyle name="Нормален 2 2" xfId="7" xr:uid="{00000000-0005-0000-0000-000005000000}"/>
    <cellStyle name="Нормален 3" xfId="6" xr:uid="{00000000-0005-0000-0000-000006000000}"/>
    <cellStyle name="Нормален 4" xfId="9" xr:uid="{D0B99C9F-351E-4FB1-9212-5419CEE62AC6}"/>
    <cellStyle name="Нормален_Лист2" xfId="4" xr:uid="{00000000-0005-0000-0000-000007000000}"/>
    <cellStyle name="Процент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3;.%20&#1053;&#1077;&#1076;&#1077;&#1083;&#1095;&#1077;&#1074;\Documents\Godishni%20planove\2024_GodishniPlanove\&#1053;&#1072;&#1095;&#1072;&#1083;&#1077;&#1085;\17_DLS_Rosica\OBSHTO_Rosica_Sevlievo%20&#1082;&#1098;&#1084;%20.10.2023%20&#1075;.xlsx" TargetMode="External"/><Relationship Id="rId1" Type="http://schemas.openxmlformats.org/officeDocument/2006/relationships/externalLinkPath" Target="/Users/&#1053;.%20&#1053;&#1077;&#1076;&#1077;&#1083;&#1095;&#1077;&#1074;/Documents/Godishni%20planove/2024_GodishniPlanove/&#1053;&#1072;&#1095;&#1072;&#1083;&#1077;&#1085;/17_DLS_Rosica/OBSHTO_Rosica_Sevlievo%20&#1082;&#1098;&#1084;%20.10.2023%20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БЩО_Росица_Севлиево"/>
      <sheetName val="Rosica"/>
      <sheetName val="Sevlievo"/>
    </sheetNames>
    <sheetDataSet>
      <sheetData sheetId="0" refreshError="1"/>
      <sheetData sheetId="1">
        <row r="13">
          <cell r="K13">
            <v>95.1</v>
          </cell>
          <cell r="L13">
            <v>8916</v>
          </cell>
          <cell r="M13">
            <v>5893</v>
          </cell>
          <cell r="N13">
            <v>1015</v>
          </cell>
          <cell r="O13">
            <v>2328</v>
          </cell>
          <cell r="P13">
            <v>1807</v>
          </cell>
          <cell r="Q13">
            <v>743</v>
          </cell>
          <cell r="S13">
            <v>0</v>
          </cell>
          <cell r="T13">
            <v>80</v>
          </cell>
          <cell r="U13">
            <v>63</v>
          </cell>
          <cell r="V13">
            <v>43</v>
          </cell>
          <cell r="W13">
            <v>11</v>
          </cell>
          <cell r="X13">
            <v>4</v>
          </cell>
          <cell r="Y13">
            <v>5</v>
          </cell>
          <cell r="AB13">
            <v>0</v>
          </cell>
          <cell r="AC13">
            <v>80</v>
          </cell>
          <cell r="AD13">
            <v>63</v>
          </cell>
          <cell r="AE13">
            <v>43</v>
          </cell>
          <cell r="AF13">
            <v>11</v>
          </cell>
          <cell r="AG13">
            <v>4</v>
          </cell>
          <cell r="AH13">
            <v>5</v>
          </cell>
          <cell r="AK13">
            <v>41.6</v>
          </cell>
          <cell r="AL13">
            <v>6627</v>
          </cell>
          <cell r="AM13">
            <v>3411</v>
          </cell>
          <cell r="AN13">
            <v>79</v>
          </cell>
          <cell r="AO13">
            <v>678</v>
          </cell>
          <cell r="AP13">
            <v>1304</v>
          </cell>
          <cell r="AQ13">
            <v>1350</v>
          </cell>
        </row>
        <row r="14">
          <cell r="K14">
            <v>88.9</v>
          </cell>
          <cell r="L14">
            <v>11479</v>
          </cell>
          <cell r="N14">
            <v>2938</v>
          </cell>
          <cell r="O14">
            <v>1802</v>
          </cell>
          <cell r="P14">
            <v>374</v>
          </cell>
          <cell r="Q14">
            <v>4391</v>
          </cell>
          <cell r="S14">
            <v>40.099999999999994</v>
          </cell>
          <cell r="T14">
            <v>2888</v>
          </cell>
          <cell r="U14">
            <v>2278</v>
          </cell>
          <cell r="V14">
            <v>779</v>
          </cell>
          <cell r="W14">
            <v>837</v>
          </cell>
          <cell r="X14">
            <v>96</v>
          </cell>
          <cell r="Y14">
            <v>566</v>
          </cell>
          <cell r="AB14">
            <v>40.1</v>
          </cell>
          <cell r="AC14">
            <v>2888</v>
          </cell>
          <cell r="AD14">
            <v>2278</v>
          </cell>
          <cell r="AE14">
            <v>779</v>
          </cell>
          <cell r="AF14">
            <v>837</v>
          </cell>
          <cell r="AG14">
            <v>96</v>
          </cell>
          <cell r="AH14">
            <v>566</v>
          </cell>
          <cell r="AK14">
            <v>8.5</v>
          </cell>
          <cell r="AL14">
            <v>542</v>
          </cell>
          <cell r="AM14">
            <v>456</v>
          </cell>
          <cell r="AN14">
            <v>177</v>
          </cell>
          <cell r="AO14">
            <v>70</v>
          </cell>
          <cell r="AP14">
            <v>14</v>
          </cell>
          <cell r="AQ14">
            <v>195</v>
          </cell>
        </row>
        <row r="16">
          <cell r="K16">
            <v>35.299999999999997</v>
          </cell>
          <cell r="L16">
            <v>3459</v>
          </cell>
          <cell r="M16">
            <v>2919</v>
          </cell>
          <cell r="N16">
            <v>1413</v>
          </cell>
          <cell r="O16">
            <v>792</v>
          </cell>
          <cell r="P16">
            <v>3</v>
          </cell>
          <cell r="Q16">
            <v>711</v>
          </cell>
          <cell r="S16">
            <v>7.5</v>
          </cell>
          <cell r="T16">
            <v>725</v>
          </cell>
          <cell r="U16">
            <v>621</v>
          </cell>
          <cell r="V16">
            <v>457</v>
          </cell>
          <cell r="W16">
            <v>73</v>
          </cell>
          <cell r="X16">
            <v>0</v>
          </cell>
          <cell r="Y16">
            <v>91</v>
          </cell>
          <cell r="AB16">
            <v>7.5</v>
          </cell>
          <cell r="AC16">
            <v>725</v>
          </cell>
          <cell r="AD16">
            <v>621</v>
          </cell>
          <cell r="AE16">
            <v>457</v>
          </cell>
          <cell r="AF16">
            <v>73</v>
          </cell>
          <cell r="AG16">
            <v>0</v>
          </cell>
          <cell r="AH16">
            <v>91</v>
          </cell>
          <cell r="AK16">
            <v>0.5</v>
          </cell>
          <cell r="AL16">
            <v>26</v>
          </cell>
          <cell r="AM16">
            <v>22</v>
          </cell>
          <cell r="AN16">
            <v>12</v>
          </cell>
          <cell r="AO16">
            <v>4</v>
          </cell>
          <cell r="AP16">
            <v>0</v>
          </cell>
          <cell r="AQ16">
            <v>6</v>
          </cell>
        </row>
        <row r="17">
          <cell r="K17">
            <v>9.8000000000000007</v>
          </cell>
          <cell r="L17">
            <v>1407</v>
          </cell>
          <cell r="M17">
            <v>1112</v>
          </cell>
          <cell r="N17">
            <v>416</v>
          </cell>
          <cell r="O17">
            <v>171</v>
          </cell>
          <cell r="P17">
            <v>42</v>
          </cell>
          <cell r="Q17">
            <v>483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K17">
            <v>4.7</v>
          </cell>
          <cell r="AL17">
            <v>462</v>
          </cell>
          <cell r="AM17">
            <v>389</v>
          </cell>
          <cell r="AN17">
            <v>151</v>
          </cell>
          <cell r="AO17">
            <v>59</v>
          </cell>
          <cell r="AP17">
            <v>14</v>
          </cell>
          <cell r="AQ17">
            <v>165</v>
          </cell>
        </row>
        <row r="18"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</row>
        <row r="23">
          <cell r="K23">
            <v>234.2</v>
          </cell>
          <cell r="L23">
            <v>8853</v>
          </cell>
          <cell r="M23">
            <v>5570</v>
          </cell>
          <cell r="N23">
            <v>487</v>
          </cell>
          <cell r="O23">
            <v>1573</v>
          </cell>
          <cell r="P23">
            <v>1108</v>
          </cell>
          <cell r="Q23">
            <v>2402</v>
          </cell>
          <cell r="S23">
            <v>217.4</v>
          </cell>
          <cell r="T23">
            <v>16276</v>
          </cell>
          <cell r="U23">
            <v>13994</v>
          </cell>
          <cell r="V23">
            <v>5852</v>
          </cell>
          <cell r="W23">
            <v>654</v>
          </cell>
          <cell r="X23">
            <v>164</v>
          </cell>
          <cell r="Y23">
            <v>7324</v>
          </cell>
          <cell r="AB23">
            <v>217.4</v>
          </cell>
          <cell r="AC23">
            <v>16249</v>
          </cell>
          <cell r="AD23">
            <v>13975</v>
          </cell>
          <cell r="AE23">
            <v>5850</v>
          </cell>
          <cell r="AF23">
            <v>650</v>
          </cell>
          <cell r="AG23">
            <v>162</v>
          </cell>
          <cell r="AH23">
            <v>7313</v>
          </cell>
          <cell r="AK23">
            <v>13.3</v>
          </cell>
          <cell r="AL23">
            <v>1600</v>
          </cell>
          <cell r="AM23">
            <v>1254</v>
          </cell>
          <cell r="AN23">
            <v>184</v>
          </cell>
          <cell r="AO23">
            <v>102</v>
          </cell>
          <cell r="AP23">
            <v>114</v>
          </cell>
          <cell r="AQ23">
            <v>854</v>
          </cell>
        </row>
        <row r="24">
          <cell r="K24">
            <v>69.2</v>
          </cell>
          <cell r="L24">
            <v>4085</v>
          </cell>
          <cell r="M24">
            <v>3523</v>
          </cell>
          <cell r="N24">
            <v>385</v>
          </cell>
          <cell r="O24">
            <v>607</v>
          </cell>
          <cell r="P24">
            <v>118</v>
          </cell>
          <cell r="Q24">
            <v>2413</v>
          </cell>
          <cell r="S24">
            <v>103.4</v>
          </cell>
          <cell r="T24">
            <v>9514</v>
          </cell>
          <cell r="U24">
            <v>8201</v>
          </cell>
          <cell r="V24">
            <v>3543</v>
          </cell>
          <cell r="W24">
            <v>634</v>
          </cell>
          <cell r="X24">
            <v>57</v>
          </cell>
          <cell r="Y24">
            <v>3967</v>
          </cell>
          <cell r="AB24">
            <v>103.4</v>
          </cell>
          <cell r="AC24">
            <v>9514</v>
          </cell>
          <cell r="AD24">
            <v>8201</v>
          </cell>
          <cell r="AE24">
            <v>3543</v>
          </cell>
          <cell r="AF24">
            <v>634</v>
          </cell>
          <cell r="AG24">
            <v>57</v>
          </cell>
          <cell r="AH24">
            <v>3967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6">
          <cell r="K26">
            <v>6.9</v>
          </cell>
          <cell r="L26">
            <v>171</v>
          </cell>
          <cell r="M26">
            <v>115</v>
          </cell>
          <cell r="N26">
            <v>1</v>
          </cell>
          <cell r="O26">
            <v>32</v>
          </cell>
          <cell r="P26">
            <v>37</v>
          </cell>
          <cell r="Q26">
            <v>45</v>
          </cell>
          <cell r="S26">
            <v>1</v>
          </cell>
          <cell r="T26">
            <v>75</v>
          </cell>
          <cell r="U26">
            <v>56</v>
          </cell>
          <cell r="V26">
            <v>11</v>
          </cell>
          <cell r="W26">
            <v>6</v>
          </cell>
          <cell r="X26">
            <v>8</v>
          </cell>
          <cell r="Y26">
            <v>31</v>
          </cell>
          <cell r="AB26">
            <v>0</v>
          </cell>
          <cell r="AC26">
            <v>30</v>
          </cell>
          <cell r="AD26">
            <v>26</v>
          </cell>
          <cell r="AE26">
            <v>9</v>
          </cell>
          <cell r="AF26">
            <v>3</v>
          </cell>
          <cell r="AG26">
            <v>2</v>
          </cell>
          <cell r="AH26">
            <v>12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</row>
        <row r="27"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9">
          <cell r="K29">
            <v>0</v>
          </cell>
          <cell r="L29">
            <v>53</v>
          </cell>
          <cell r="M29">
            <v>36</v>
          </cell>
          <cell r="N29">
            <v>0</v>
          </cell>
          <cell r="O29">
            <v>10</v>
          </cell>
          <cell r="P29">
            <v>11</v>
          </cell>
          <cell r="Q29">
            <v>15</v>
          </cell>
          <cell r="S29">
            <v>0</v>
          </cell>
          <cell r="T29">
            <v>47</v>
          </cell>
          <cell r="U29">
            <v>37</v>
          </cell>
          <cell r="V29">
            <v>2</v>
          </cell>
          <cell r="W29">
            <v>3</v>
          </cell>
          <cell r="X29">
            <v>5</v>
          </cell>
          <cell r="Y29">
            <v>27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5"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19.5</v>
          </cell>
          <cell r="T35">
            <v>1776</v>
          </cell>
          <cell r="U35">
            <v>1563</v>
          </cell>
          <cell r="V35">
            <v>53</v>
          </cell>
          <cell r="W35">
            <v>107</v>
          </cell>
          <cell r="X35">
            <v>89</v>
          </cell>
          <cell r="Y35">
            <v>1314</v>
          </cell>
          <cell r="AB35">
            <v>0</v>
          </cell>
          <cell r="AC35">
            <v>40</v>
          </cell>
          <cell r="AD35">
            <v>36</v>
          </cell>
          <cell r="AE35">
            <v>1</v>
          </cell>
          <cell r="AF35">
            <v>3</v>
          </cell>
          <cell r="AG35">
            <v>2</v>
          </cell>
          <cell r="AH35">
            <v>30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</row>
        <row r="36"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3.4</v>
          </cell>
          <cell r="T36">
            <v>200</v>
          </cell>
          <cell r="U36">
            <v>175</v>
          </cell>
          <cell r="V36">
            <v>0</v>
          </cell>
          <cell r="W36">
            <v>45</v>
          </cell>
          <cell r="X36">
            <v>30</v>
          </cell>
          <cell r="Y36">
            <v>100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8">
          <cell r="K38">
            <v>16.2</v>
          </cell>
          <cell r="L38">
            <v>1711</v>
          </cell>
          <cell r="M38">
            <v>1283</v>
          </cell>
          <cell r="N38">
            <v>96</v>
          </cell>
          <cell r="O38">
            <v>319</v>
          </cell>
          <cell r="P38">
            <v>232</v>
          </cell>
          <cell r="Q38">
            <v>636</v>
          </cell>
          <cell r="S38">
            <v>1.3</v>
          </cell>
          <cell r="T38">
            <v>344</v>
          </cell>
          <cell r="U38">
            <v>273</v>
          </cell>
          <cell r="V38">
            <v>66</v>
          </cell>
          <cell r="W38">
            <v>24</v>
          </cell>
          <cell r="X38">
            <v>31</v>
          </cell>
          <cell r="Y38">
            <v>152</v>
          </cell>
          <cell r="AB38">
            <v>1.3</v>
          </cell>
          <cell r="AC38">
            <v>185</v>
          </cell>
          <cell r="AD38">
            <v>146</v>
          </cell>
          <cell r="AE38">
            <v>52</v>
          </cell>
          <cell r="AF38">
            <v>17</v>
          </cell>
          <cell r="AG38">
            <v>3</v>
          </cell>
          <cell r="AH38">
            <v>74</v>
          </cell>
          <cell r="AK38">
            <v>2.2999999999999998</v>
          </cell>
          <cell r="AL38">
            <v>93</v>
          </cell>
          <cell r="AM38">
            <v>111</v>
          </cell>
          <cell r="AN38">
            <v>0</v>
          </cell>
          <cell r="AO38">
            <v>9</v>
          </cell>
          <cell r="AP38">
            <v>14</v>
          </cell>
          <cell r="AQ38">
            <v>88</v>
          </cell>
        </row>
        <row r="39">
          <cell r="K39">
            <v>27.7</v>
          </cell>
          <cell r="L39">
            <v>1299</v>
          </cell>
          <cell r="M39">
            <v>1188</v>
          </cell>
          <cell r="N39">
            <v>48</v>
          </cell>
          <cell r="O39">
            <v>18</v>
          </cell>
          <cell r="P39">
            <v>5</v>
          </cell>
          <cell r="Q39">
            <v>1117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</sheetData>
      <sheetData sheetId="2">
        <row r="13">
          <cell r="K13">
            <v>45.2</v>
          </cell>
          <cell r="L13">
            <v>2822</v>
          </cell>
          <cell r="M13">
            <v>2034</v>
          </cell>
          <cell r="N13">
            <v>186</v>
          </cell>
          <cell r="O13">
            <v>1270</v>
          </cell>
          <cell r="P13">
            <v>174</v>
          </cell>
          <cell r="Q13">
            <v>404</v>
          </cell>
          <cell r="S13">
            <v>23.4</v>
          </cell>
          <cell r="T13">
            <v>2082</v>
          </cell>
          <cell r="U13">
            <v>1610</v>
          </cell>
          <cell r="V13">
            <v>508</v>
          </cell>
          <cell r="W13">
            <v>693</v>
          </cell>
          <cell r="X13">
            <v>50</v>
          </cell>
          <cell r="Y13">
            <v>359</v>
          </cell>
          <cell r="AB13">
            <v>23.4</v>
          </cell>
          <cell r="AC13">
            <v>2082</v>
          </cell>
          <cell r="AD13">
            <v>1610</v>
          </cell>
          <cell r="AE13">
            <v>508</v>
          </cell>
          <cell r="AF13">
            <v>693</v>
          </cell>
          <cell r="AG13">
            <v>50</v>
          </cell>
          <cell r="AH13">
            <v>359</v>
          </cell>
          <cell r="AK13">
            <v>19.600000000000001</v>
          </cell>
          <cell r="AL13">
            <v>1561</v>
          </cell>
          <cell r="AM13">
            <v>1093</v>
          </cell>
          <cell r="AN13">
            <v>62</v>
          </cell>
          <cell r="AO13">
            <v>387</v>
          </cell>
          <cell r="AP13">
            <v>42</v>
          </cell>
          <cell r="AQ13">
            <v>602</v>
          </cell>
        </row>
        <row r="14">
          <cell r="K14">
            <v>42.5</v>
          </cell>
          <cell r="L14">
            <v>2102</v>
          </cell>
          <cell r="N14">
            <v>276</v>
          </cell>
          <cell r="O14">
            <v>194</v>
          </cell>
          <cell r="P14">
            <v>33</v>
          </cell>
          <cell r="Q14">
            <v>1386</v>
          </cell>
          <cell r="S14">
            <v>8.8000000000000007</v>
          </cell>
          <cell r="T14">
            <v>942</v>
          </cell>
          <cell r="U14">
            <v>815</v>
          </cell>
          <cell r="V14">
            <v>371</v>
          </cell>
          <cell r="W14">
            <v>118</v>
          </cell>
          <cell r="X14">
            <v>40</v>
          </cell>
          <cell r="Y14">
            <v>286</v>
          </cell>
          <cell r="AB14">
            <v>8.8000000000000007</v>
          </cell>
          <cell r="AC14">
            <v>942</v>
          </cell>
          <cell r="AD14">
            <v>815</v>
          </cell>
          <cell r="AE14">
            <v>371</v>
          </cell>
          <cell r="AF14">
            <v>118</v>
          </cell>
          <cell r="AG14">
            <v>40</v>
          </cell>
          <cell r="AH14">
            <v>286</v>
          </cell>
          <cell r="AK14">
            <v>0</v>
          </cell>
          <cell r="AL14">
            <v>10</v>
          </cell>
          <cell r="AM14">
            <v>8</v>
          </cell>
          <cell r="AN14">
            <v>8</v>
          </cell>
          <cell r="AO14">
            <v>0</v>
          </cell>
          <cell r="AP14">
            <v>0</v>
          </cell>
          <cell r="AQ14">
            <v>0</v>
          </cell>
        </row>
        <row r="16">
          <cell r="K16">
            <v>25.4</v>
          </cell>
          <cell r="L16">
            <v>862</v>
          </cell>
          <cell r="M16">
            <v>813</v>
          </cell>
          <cell r="N16">
            <v>142</v>
          </cell>
          <cell r="O16">
            <v>77</v>
          </cell>
          <cell r="P16">
            <v>25</v>
          </cell>
          <cell r="Q16">
            <v>569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K16">
            <v>0</v>
          </cell>
          <cell r="AL16">
            <v>3</v>
          </cell>
          <cell r="AM16">
            <v>2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K17">
            <v>0</v>
          </cell>
          <cell r="L17">
            <v>316</v>
          </cell>
          <cell r="M17">
            <v>281</v>
          </cell>
          <cell r="N17">
            <v>15</v>
          </cell>
          <cell r="O17">
            <v>10</v>
          </cell>
          <cell r="P17">
            <v>0</v>
          </cell>
          <cell r="Q17">
            <v>256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</row>
        <row r="18"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K18">
            <v>0</v>
          </cell>
          <cell r="AL18">
            <v>7</v>
          </cell>
          <cell r="AM18">
            <v>6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</row>
        <row r="23">
          <cell r="K23">
            <v>54</v>
          </cell>
          <cell r="L23">
            <v>2530</v>
          </cell>
          <cell r="M23">
            <v>2089</v>
          </cell>
          <cell r="N23">
            <v>77</v>
          </cell>
          <cell r="O23">
            <v>366</v>
          </cell>
          <cell r="P23">
            <v>69</v>
          </cell>
          <cell r="Q23">
            <v>1577</v>
          </cell>
          <cell r="S23">
            <v>19.3</v>
          </cell>
          <cell r="T23">
            <v>1261</v>
          </cell>
          <cell r="U23">
            <v>1078</v>
          </cell>
          <cell r="V23">
            <v>244</v>
          </cell>
          <cell r="W23">
            <v>86</v>
          </cell>
          <cell r="X23">
            <v>14</v>
          </cell>
          <cell r="Y23">
            <v>734</v>
          </cell>
          <cell r="AB23">
            <v>14.9</v>
          </cell>
          <cell r="AC23">
            <v>1061</v>
          </cell>
          <cell r="AD23">
            <v>913</v>
          </cell>
          <cell r="AE23">
            <v>235</v>
          </cell>
          <cell r="AF23">
            <v>42</v>
          </cell>
          <cell r="AG23">
            <v>10</v>
          </cell>
          <cell r="AH23">
            <v>626</v>
          </cell>
          <cell r="AK23">
            <v>1</v>
          </cell>
          <cell r="AL23">
            <v>4</v>
          </cell>
          <cell r="AM23">
            <v>3</v>
          </cell>
          <cell r="AN23">
            <v>0</v>
          </cell>
          <cell r="AO23">
            <v>0</v>
          </cell>
          <cell r="AP23">
            <v>0</v>
          </cell>
          <cell r="AQ23">
            <v>3</v>
          </cell>
        </row>
        <row r="24">
          <cell r="K24">
            <v>59.8</v>
          </cell>
          <cell r="L24">
            <v>2325</v>
          </cell>
          <cell r="M24">
            <v>2208</v>
          </cell>
          <cell r="N24">
            <v>75</v>
          </cell>
          <cell r="O24">
            <v>124</v>
          </cell>
          <cell r="P24">
            <v>50</v>
          </cell>
          <cell r="Q24">
            <v>1959</v>
          </cell>
          <cell r="S24">
            <v>0</v>
          </cell>
          <cell r="T24">
            <v>78</v>
          </cell>
          <cell r="U24">
            <v>66</v>
          </cell>
          <cell r="V24">
            <v>0</v>
          </cell>
          <cell r="W24">
            <v>0</v>
          </cell>
          <cell r="X24">
            <v>0</v>
          </cell>
          <cell r="Y24">
            <v>66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K24">
            <v>0.48</v>
          </cell>
          <cell r="AL24">
            <v>201</v>
          </cell>
          <cell r="AM24">
            <v>188</v>
          </cell>
          <cell r="AN24">
            <v>0</v>
          </cell>
          <cell r="AO24">
            <v>0</v>
          </cell>
          <cell r="AP24">
            <v>2</v>
          </cell>
          <cell r="AQ24">
            <v>186</v>
          </cell>
        </row>
        <row r="26">
          <cell r="K26">
            <v>23.3</v>
          </cell>
          <cell r="L26">
            <v>479</v>
          </cell>
          <cell r="M26">
            <v>430</v>
          </cell>
          <cell r="N26">
            <v>0</v>
          </cell>
          <cell r="O26">
            <v>93</v>
          </cell>
          <cell r="P26">
            <v>18</v>
          </cell>
          <cell r="Q26">
            <v>319</v>
          </cell>
          <cell r="S26">
            <v>41</v>
          </cell>
          <cell r="T26">
            <v>1239</v>
          </cell>
          <cell r="U26">
            <v>1125</v>
          </cell>
          <cell r="V26">
            <v>4</v>
          </cell>
          <cell r="W26">
            <v>249</v>
          </cell>
          <cell r="X26">
            <v>32</v>
          </cell>
          <cell r="Y26">
            <v>840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K26">
            <v>0.6</v>
          </cell>
          <cell r="AL26">
            <v>15</v>
          </cell>
          <cell r="AM26">
            <v>12</v>
          </cell>
          <cell r="AN26">
            <v>0</v>
          </cell>
          <cell r="AO26">
            <v>2</v>
          </cell>
          <cell r="AP26">
            <v>0</v>
          </cell>
          <cell r="AQ26">
            <v>10</v>
          </cell>
        </row>
        <row r="27">
          <cell r="K27">
            <v>6.1</v>
          </cell>
          <cell r="L27">
            <v>214</v>
          </cell>
          <cell r="M27">
            <v>196</v>
          </cell>
          <cell r="N27">
            <v>0</v>
          </cell>
          <cell r="O27">
            <v>0</v>
          </cell>
          <cell r="P27">
            <v>0</v>
          </cell>
          <cell r="Q27">
            <v>196</v>
          </cell>
          <cell r="S27">
            <v>0.8</v>
          </cell>
          <cell r="T27">
            <v>749</v>
          </cell>
          <cell r="U27">
            <v>673</v>
          </cell>
          <cell r="V27">
            <v>148</v>
          </cell>
          <cell r="W27">
            <v>20</v>
          </cell>
          <cell r="X27">
            <v>0</v>
          </cell>
          <cell r="Y27">
            <v>505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9">
          <cell r="K29">
            <v>56.9</v>
          </cell>
          <cell r="L29">
            <v>1132</v>
          </cell>
          <cell r="M29">
            <v>981</v>
          </cell>
          <cell r="N29">
            <v>8</v>
          </cell>
          <cell r="O29">
            <v>174</v>
          </cell>
          <cell r="P29">
            <v>42</v>
          </cell>
          <cell r="Q29">
            <v>757</v>
          </cell>
          <cell r="S29">
            <v>115</v>
          </cell>
          <cell r="T29">
            <v>3736</v>
          </cell>
          <cell r="U29">
            <v>3278</v>
          </cell>
          <cell r="V29">
            <v>228</v>
          </cell>
          <cell r="W29">
            <v>540</v>
          </cell>
          <cell r="X29">
            <v>20</v>
          </cell>
          <cell r="Y29">
            <v>2490</v>
          </cell>
          <cell r="AB29">
            <v>1</v>
          </cell>
          <cell r="AC29">
            <v>32</v>
          </cell>
          <cell r="AD29">
            <v>24</v>
          </cell>
          <cell r="AE29">
            <v>2</v>
          </cell>
          <cell r="AF29">
            <v>0</v>
          </cell>
          <cell r="AG29">
            <v>0</v>
          </cell>
          <cell r="AH29">
            <v>22</v>
          </cell>
          <cell r="AK29">
            <v>3.3</v>
          </cell>
          <cell r="AL29">
            <v>77</v>
          </cell>
          <cell r="AM29">
            <v>64</v>
          </cell>
          <cell r="AN29">
            <v>0</v>
          </cell>
          <cell r="AO29">
            <v>4</v>
          </cell>
          <cell r="AP29">
            <v>0</v>
          </cell>
          <cell r="AQ29">
            <v>60</v>
          </cell>
        </row>
        <row r="30">
          <cell r="K30">
            <v>23.5</v>
          </cell>
          <cell r="L30">
            <v>893</v>
          </cell>
          <cell r="M30">
            <v>819</v>
          </cell>
          <cell r="N30">
            <v>0</v>
          </cell>
          <cell r="O30">
            <v>121</v>
          </cell>
          <cell r="P30">
            <v>4</v>
          </cell>
          <cell r="Q30">
            <v>694</v>
          </cell>
          <cell r="S30">
            <v>179</v>
          </cell>
          <cell r="T30">
            <v>5358</v>
          </cell>
          <cell r="U30">
            <v>4759</v>
          </cell>
          <cell r="V30">
            <v>2</v>
          </cell>
          <cell r="W30">
            <v>37</v>
          </cell>
          <cell r="X30">
            <v>0</v>
          </cell>
          <cell r="Y30">
            <v>4720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3.3</v>
          </cell>
          <cell r="T32">
            <v>461</v>
          </cell>
          <cell r="U32">
            <v>397</v>
          </cell>
          <cell r="V32">
            <v>215</v>
          </cell>
          <cell r="W32">
            <v>29</v>
          </cell>
          <cell r="X32">
            <v>9</v>
          </cell>
          <cell r="Y32">
            <v>144</v>
          </cell>
          <cell r="AB32">
            <v>3.2</v>
          </cell>
          <cell r="AC32">
            <v>458</v>
          </cell>
          <cell r="AD32">
            <v>394</v>
          </cell>
          <cell r="AE32">
            <v>214</v>
          </cell>
          <cell r="AF32">
            <v>29</v>
          </cell>
          <cell r="AG32">
            <v>9</v>
          </cell>
          <cell r="AH32">
            <v>142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5">
          <cell r="K35">
            <v>2.8</v>
          </cell>
          <cell r="L35">
            <v>158</v>
          </cell>
          <cell r="M35">
            <v>128</v>
          </cell>
          <cell r="N35">
            <v>0</v>
          </cell>
          <cell r="O35">
            <v>14</v>
          </cell>
          <cell r="P35">
            <v>14</v>
          </cell>
          <cell r="Q35">
            <v>100</v>
          </cell>
          <cell r="S35">
            <v>84.8</v>
          </cell>
          <cell r="T35">
            <v>5334</v>
          </cell>
          <cell r="U35">
            <v>4905</v>
          </cell>
          <cell r="V35">
            <v>58</v>
          </cell>
          <cell r="W35">
            <v>1078</v>
          </cell>
          <cell r="X35">
            <v>209</v>
          </cell>
          <cell r="Y35">
            <v>3560</v>
          </cell>
          <cell r="AB35">
            <v>0.4</v>
          </cell>
          <cell r="AC35">
            <v>6</v>
          </cell>
          <cell r="AD35">
            <v>7</v>
          </cell>
          <cell r="AE35">
            <v>0</v>
          </cell>
          <cell r="AF35">
            <v>2</v>
          </cell>
          <cell r="AG35">
            <v>0</v>
          </cell>
          <cell r="AH35">
            <v>5</v>
          </cell>
          <cell r="AK35">
            <v>0.3</v>
          </cell>
          <cell r="AL35">
            <v>8</v>
          </cell>
          <cell r="AM35">
            <v>6</v>
          </cell>
          <cell r="AN35">
            <v>0</v>
          </cell>
          <cell r="AO35">
            <v>0</v>
          </cell>
          <cell r="AP35">
            <v>0</v>
          </cell>
          <cell r="AQ35">
            <v>6</v>
          </cell>
        </row>
        <row r="36">
          <cell r="K36">
            <v>0</v>
          </cell>
          <cell r="L36">
            <v>21</v>
          </cell>
          <cell r="M36">
            <v>18</v>
          </cell>
          <cell r="N36">
            <v>0</v>
          </cell>
          <cell r="O36">
            <v>0</v>
          </cell>
          <cell r="P36">
            <v>0</v>
          </cell>
          <cell r="Q36">
            <v>18</v>
          </cell>
          <cell r="S36">
            <v>60.7</v>
          </cell>
          <cell r="T36">
            <v>4917</v>
          </cell>
          <cell r="U36">
            <v>4534</v>
          </cell>
          <cell r="V36">
            <v>10</v>
          </cell>
          <cell r="W36">
            <v>647</v>
          </cell>
          <cell r="X36">
            <v>314</v>
          </cell>
          <cell r="Y36">
            <v>3563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8">
          <cell r="K38">
            <v>39.700000000000003</v>
          </cell>
          <cell r="L38">
            <v>1445</v>
          </cell>
          <cell r="M38">
            <v>1182</v>
          </cell>
          <cell r="N38">
            <v>65</v>
          </cell>
          <cell r="O38">
            <v>304</v>
          </cell>
          <cell r="P38">
            <v>57</v>
          </cell>
          <cell r="Q38">
            <v>756</v>
          </cell>
          <cell r="S38">
            <v>35.4</v>
          </cell>
          <cell r="T38">
            <v>1027</v>
          </cell>
          <cell r="U38">
            <v>780</v>
          </cell>
          <cell r="V38">
            <v>35</v>
          </cell>
          <cell r="W38">
            <v>114</v>
          </cell>
          <cell r="X38">
            <v>26</v>
          </cell>
          <cell r="Y38">
            <v>605</v>
          </cell>
          <cell r="AB38">
            <v>2.2999999999999998</v>
          </cell>
          <cell r="AC38">
            <v>210</v>
          </cell>
          <cell r="AD38">
            <v>171</v>
          </cell>
          <cell r="AE38">
            <v>16</v>
          </cell>
          <cell r="AF38">
            <v>12</v>
          </cell>
          <cell r="AG38">
            <v>5</v>
          </cell>
          <cell r="AH38">
            <v>138</v>
          </cell>
          <cell r="AK38">
            <v>1.3</v>
          </cell>
          <cell r="AL38">
            <v>11</v>
          </cell>
          <cell r="AM38">
            <v>10</v>
          </cell>
          <cell r="AN38">
            <v>0</v>
          </cell>
          <cell r="AO38">
            <v>0</v>
          </cell>
          <cell r="AP38">
            <v>2</v>
          </cell>
          <cell r="AQ38">
            <v>8</v>
          </cell>
        </row>
        <row r="39">
          <cell r="K39">
            <v>46.6</v>
          </cell>
          <cell r="L39">
            <v>1861</v>
          </cell>
          <cell r="M39">
            <v>1789</v>
          </cell>
          <cell r="N39">
            <v>32</v>
          </cell>
          <cell r="O39">
            <v>39</v>
          </cell>
          <cell r="P39">
            <v>12</v>
          </cell>
          <cell r="Q39">
            <v>1706</v>
          </cell>
          <cell r="S39">
            <v>0</v>
          </cell>
          <cell r="T39">
            <v>758</v>
          </cell>
          <cell r="U39">
            <v>638</v>
          </cell>
          <cell r="V39">
            <v>75</v>
          </cell>
          <cell r="W39">
            <v>24</v>
          </cell>
          <cell r="X39">
            <v>3</v>
          </cell>
          <cell r="Y39">
            <v>536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K39">
            <v>0</v>
          </cell>
          <cell r="AL39">
            <v>9</v>
          </cell>
          <cell r="AM39">
            <v>9</v>
          </cell>
          <cell r="AN39">
            <v>4</v>
          </cell>
          <cell r="AO39">
            <v>0</v>
          </cell>
          <cell r="AP39">
            <v>0</v>
          </cell>
          <cell r="AQ39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AX114"/>
  <sheetViews>
    <sheetView view="pageBreakPreview" topLeftCell="A4" zoomScale="112" zoomScaleNormal="55" zoomScaleSheetLayoutView="112" zoomScalePageLayoutView="40" workbookViewId="0">
      <selection activeCell="D13" sqref="D13"/>
    </sheetView>
  </sheetViews>
  <sheetFormatPr defaultColWidth="9.109375" defaultRowHeight="11.4"/>
  <cols>
    <col min="1" max="1" width="13.21875" style="157" customWidth="1"/>
    <col min="2" max="2" width="8.44140625" style="157" customWidth="1"/>
    <col min="3" max="3" width="9.109375" style="157" customWidth="1"/>
    <col min="4" max="4" width="9.33203125" style="157" customWidth="1"/>
    <col min="5" max="5" width="9.109375" style="157" customWidth="1"/>
    <col min="6" max="6" width="8.6640625" style="157" customWidth="1"/>
    <col min="7" max="7" width="8.33203125" style="157" customWidth="1"/>
    <col min="8" max="8" width="7.6640625" style="157" customWidth="1"/>
    <col min="9" max="9" width="3.88671875" style="157" customWidth="1"/>
    <col min="10" max="10" width="14.6640625" style="157" customWidth="1"/>
    <col min="11" max="11" width="7.5546875" style="157" customWidth="1"/>
    <col min="12" max="12" width="7.88671875" style="157" customWidth="1"/>
    <col min="13" max="13" width="8" style="157" customWidth="1"/>
    <col min="14" max="15" width="7.109375" style="157" customWidth="1"/>
    <col min="16" max="16" width="6.88671875" style="157" customWidth="1"/>
    <col min="17" max="17" width="8.33203125" style="157" customWidth="1"/>
    <col min="18" max="18" width="15" style="157" customWidth="1"/>
    <col min="19" max="19" width="7.88671875" style="157" customWidth="1"/>
    <col min="20" max="20" width="9" style="157" customWidth="1"/>
    <col min="21" max="21" width="9.109375" style="157"/>
    <col min="22" max="23" width="7.33203125" style="157" customWidth="1"/>
    <col min="24" max="25" width="9.109375" style="157"/>
    <col min="26" max="26" width="5.33203125" style="157" customWidth="1"/>
    <col min="27" max="27" width="14.33203125" style="157" customWidth="1"/>
    <col min="28" max="28" width="7.33203125" style="157" customWidth="1"/>
    <col min="29" max="29" width="7.88671875" style="157" customWidth="1"/>
    <col min="30" max="30" width="7.6640625" style="157" customWidth="1"/>
    <col min="31" max="31" width="6.5546875" style="157" customWidth="1"/>
    <col min="32" max="32" width="7.33203125" style="157" customWidth="1"/>
    <col min="33" max="33" width="6.88671875" style="157" customWidth="1"/>
    <col min="34" max="34" width="8.109375" style="157" customWidth="1"/>
    <col min="35" max="35" width="6.5546875" style="157" customWidth="1"/>
    <col min="36" max="36" width="14.33203125" style="157" customWidth="1"/>
    <col min="37" max="37" width="10" style="157" customWidth="1"/>
    <col min="38" max="16384" width="9.109375" style="157"/>
  </cols>
  <sheetData>
    <row r="1" spans="1:50" ht="13.2">
      <c r="K1" s="125"/>
      <c r="L1" s="115"/>
      <c r="M1" s="115"/>
      <c r="N1" s="115"/>
      <c r="O1" s="115"/>
      <c r="P1" s="115"/>
      <c r="Q1" s="199" t="s">
        <v>62</v>
      </c>
    </row>
    <row r="2" spans="1:50" s="153" customFormat="1" ht="15.75" customHeight="1">
      <c r="H2" s="201" t="s">
        <v>34</v>
      </c>
      <c r="K2" s="186"/>
      <c r="L2" s="186"/>
      <c r="M2" s="186"/>
      <c r="N2" s="186"/>
      <c r="O2" s="186"/>
      <c r="P2" s="186"/>
      <c r="Q2" s="200" t="s">
        <v>33</v>
      </c>
    </row>
    <row r="3" spans="1:50" s="153" customFormat="1" ht="18.75" customHeight="1">
      <c r="C3" s="155" t="s">
        <v>74</v>
      </c>
      <c r="D3" s="157"/>
      <c r="E3" s="157"/>
      <c r="F3" s="157"/>
      <c r="G3" s="157"/>
      <c r="H3" s="157"/>
      <c r="I3" s="157"/>
    </row>
    <row r="4" spans="1:50" s="155" customFormat="1" ht="35.25" customHeight="1">
      <c r="A4" s="460" t="s">
        <v>101</v>
      </c>
      <c r="B4" s="460"/>
      <c r="C4" s="460"/>
      <c r="D4" s="460"/>
      <c r="E4" s="460"/>
      <c r="F4" s="460"/>
      <c r="G4" s="460"/>
      <c r="H4" s="460"/>
      <c r="I4" s="154"/>
      <c r="J4" s="154"/>
      <c r="K4" s="153"/>
      <c r="L4" s="153"/>
      <c r="M4" s="153"/>
      <c r="N4" s="153"/>
      <c r="O4" s="153"/>
      <c r="P4" s="153"/>
      <c r="Q4" s="153"/>
    </row>
    <row r="5" spans="1:50" ht="21.75" customHeight="1">
      <c r="A5" s="155" t="s">
        <v>35</v>
      </c>
      <c r="B5" s="156"/>
      <c r="C5" s="156"/>
      <c r="D5" s="156"/>
      <c r="F5" s="158"/>
      <c r="G5" s="156"/>
      <c r="H5" s="156"/>
      <c r="J5" s="198" t="s">
        <v>36</v>
      </c>
      <c r="O5" s="159"/>
      <c r="P5" s="160"/>
      <c r="R5" s="155" t="s">
        <v>37</v>
      </c>
      <c r="W5" s="153"/>
      <c r="X5" s="153"/>
      <c r="AA5" s="195" t="s">
        <v>38</v>
      </c>
      <c r="AB5" s="161"/>
      <c r="AC5" s="161"/>
      <c r="AD5" s="161"/>
      <c r="AE5" s="161"/>
      <c r="AF5" s="161"/>
      <c r="AG5" s="161"/>
      <c r="AJ5" s="195" t="s">
        <v>59</v>
      </c>
      <c r="AK5" s="198"/>
      <c r="AP5" s="198"/>
    </row>
    <row r="6" spans="1:50" ht="12">
      <c r="A6" s="456" t="s">
        <v>0</v>
      </c>
      <c r="B6" s="181" t="s">
        <v>1</v>
      </c>
      <c r="C6" s="181" t="s">
        <v>2</v>
      </c>
      <c r="D6" s="181" t="s">
        <v>3</v>
      </c>
      <c r="E6" s="181" t="s">
        <v>4</v>
      </c>
      <c r="F6" s="181" t="s">
        <v>5</v>
      </c>
      <c r="G6" s="181" t="s">
        <v>6</v>
      </c>
      <c r="H6" s="181" t="s">
        <v>7</v>
      </c>
      <c r="J6" s="456" t="s">
        <v>0</v>
      </c>
      <c r="K6" s="181" t="s">
        <v>1</v>
      </c>
      <c r="L6" s="181" t="s">
        <v>2</v>
      </c>
      <c r="M6" s="181" t="s">
        <v>3</v>
      </c>
      <c r="N6" s="181" t="s">
        <v>4</v>
      </c>
      <c r="O6" s="181" t="s">
        <v>5</v>
      </c>
      <c r="P6" s="181" t="s">
        <v>6</v>
      </c>
      <c r="Q6" s="181" t="s">
        <v>7</v>
      </c>
      <c r="R6" s="456" t="s">
        <v>0</v>
      </c>
      <c r="S6" s="181" t="s">
        <v>1</v>
      </c>
      <c r="T6" s="181" t="s">
        <v>2</v>
      </c>
      <c r="U6" s="181" t="s">
        <v>3</v>
      </c>
      <c r="V6" s="181" t="s">
        <v>4</v>
      </c>
      <c r="W6" s="181" t="s">
        <v>5</v>
      </c>
      <c r="X6" s="181" t="s">
        <v>6</v>
      </c>
      <c r="Y6" s="181" t="s">
        <v>7</v>
      </c>
      <c r="Z6" s="183"/>
      <c r="AA6" s="458" t="s">
        <v>0</v>
      </c>
      <c r="AB6" s="184" t="s">
        <v>1</v>
      </c>
      <c r="AC6" s="184" t="s">
        <v>2</v>
      </c>
      <c r="AD6" s="184" t="s">
        <v>3</v>
      </c>
      <c r="AE6" s="184" t="s">
        <v>4</v>
      </c>
      <c r="AF6" s="184" t="s">
        <v>5</v>
      </c>
      <c r="AG6" s="184" t="s">
        <v>6</v>
      </c>
      <c r="AH6" s="184" t="s">
        <v>7</v>
      </c>
      <c r="AI6" s="185"/>
      <c r="AJ6" s="184" t="s">
        <v>0</v>
      </c>
      <c r="AK6" s="456" t="s">
        <v>1</v>
      </c>
      <c r="AL6" s="181" t="s">
        <v>2</v>
      </c>
      <c r="AM6" s="181" t="s">
        <v>3</v>
      </c>
      <c r="AN6" s="181" t="s">
        <v>4</v>
      </c>
      <c r="AO6" s="181" t="s">
        <v>5</v>
      </c>
      <c r="AP6" s="181" t="s">
        <v>6</v>
      </c>
      <c r="AQ6" s="181" t="s">
        <v>7</v>
      </c>
    </row>
    <row r="7" spans="1:50" ht="12">
      <c r="A7" s="457"/>
      <c r="B7" s="182" t="s">
        <v>8</v>
      </c>
      <c r="C7" s="182" t="s">
        <v>9</v>
      </c>
      <c r="D7" s="182" t="s">
        <v>10</v>
      </c>
      <c r="E7" s="182" t="s">
        <v>9</v>
      </c>
      <c r="F7" s="182" t="s">
        <v>9</v>
      </c>
      <c r="G7" s="182" t="s">
        <v>9</v>
      </c>
      <c r="H7" s="182" t="s">
        <v>9</v>
      </c>
      <c r="J7" s="457"/>
      <c r="K7" s="182" t="s">
        <v>8</v>
      </c>
      <c r="L7" s="182" t="s">
        <v>9</v>
      </c>
      <c r="M7" s="182" t="s">
        <v>10</v>
      </c>
      <c r="N7" s="182" t="s">
        <v>9</v>
      </c>
      <c r="O7" s="182" t="s">
        <v>9</v>
      </c>
      <c r="P7" s="182" t="s">
        <v>9</v>
      </c>
      <c r="Q7" s="182" t="s">
        <v>9</v>
      </c>
      <c r="R7" s="457"/>
      <c r="S7" s="182" t="s">
        <v>8</v>
      </c>
      <c r="T7" s="182" t="s">
        <v>9</v>
      </c>
      <c r="U7" s="182" t="s">
        <v>10</v>
      </c>
      <c r="V7" s="182" t="s">
        <v>9</v>
      </c>
      <c r="W7" s="182" t="s">
        <v>9</v>
      </c>
      <c r="X7" s="182" t="s">
        <v>9</v>
      </c>
      <c r="Y7" s="182" t="s">
        <v>9</v>
      </c>
      <c r="Z7" s="183"/>
      <c r="AA7" s="459"/>
      <c r="AB7" s="184" t="s">
        <v>8</v>
      </c>
      <c r="AC7" s="184" t="s">
        <v>9</v>
      </c>
      <c r="AD7" s="184" t="s">
        <v>10</v>
      </c>
      <c r="AE7" s="184" t="s">
        <v>9</v>
      </c>
      <c r="AF7" s="184" t="s">
        <v>9</v>
      </c>
      <c r="AG7" s="184" t="s">
        <v>9</v>
      </c>
      <c r="AH7" s="184" t="s">
        <v>9</v>
      </c>
      <c r="AI7" s="185"/>
      <c r="AJ7" s="184"/>
      <c r="AK7" s="457" t="s">
        <v>8</v>
      </c>
      <c r="AL7" s="182" t="s">
        <v>9</v>
      </c>
      <c r="AM7" s="182" t="s">
        <v>10</v>
      </c>
      <c r="AN7" s="182" t="s">
        <v>9</v>
      </c>
      <c r="AO7" s="182" t="s">
        <v>9</v>
      </c>
      <c r="AP7" s="182" t="s">
        <v>9</v>
      </c>
      <c r="AQ7" s="182" t="s">
        <v>9</v>
      </c>
    </row>
    <row r="8" spans="1:50" ht="12">
      <c r="A8" s="196" t="s">
        <v>17</v>
      </c>
      <c r="B8" s="163"/>
      <c r="C8" s="163"/>
      <c r="D8" s="163"/>
      <c r="E8" s="163"/>
      <c r="F8" s="163"/>
      <c r="G8" s="163"/>
      <c r="H8" s="163"/>
      <c r="I8" s="164"/>
      <c r="J8" s="196" t="s">
        <v>17</v>
      </c>
      <c r="K8" s="163"/>
      <c r="L8" s="163"/>
      <c r="M8" s="163"/>
      <c r="N8" s="163"/>
      <c r="O8" s="163"/>
      <c r="P8" s="163"/>
      <c r="Q8" s="163"/>
      <c r="R8" s="196" t="s">
        <v>17</v>
      </c>
      <c r="S8" s="165"/>
      <c r="T8" s="163"/>
      <c r="U8" s="163"/>
      <c r="V8" s="163"/>
      <c r="W8" s="163"/>
      <c r="X8" s="163"/>
      <c r="Y8" s="163"/>
      <c r="Z8" s="164"/>
      <c r="AA8" s="172" t="s">
        <v>17</v>
      </c>
      <c r="AB8" s="163"/>
      <c r="AC8" s="163"/>
      <c r="AD8" s="163"/>
      <c r="AE8" s="163"/>
      <c r="AF8" s="163"/>
      <c r="AG8" s="163"/>
      <c r="AH8" s="163"/>
      <c r="AI8" s="166"/>
      <c r="AJ8" s="163" t="s">
        <v>17</v>
      </c>
      <c r="AK8" s="176"/>
      <c r="AL8" s="163"/>
      <c r="AM8" s="163"/>
      <c r="AN8" s="163"/>
      <c r="AO8" s="163"/>
      <c r="AP8" s="163"/>
      <c r="AQ8" s="163"/>
      <c r="AR8" s="164"/>
      <c r="AS8" s="164"/>
    </row>
    <row r="9" spans="1:50" ht="12">
      <c r="A9" s="172" t="s">
        <v>18</v>
      </c>
      <c r="B9" s="165">
        <f>Bujnovci!B9+Elena!B9+Bolqrka!B9+Gorna!B9+Svishtov!B9+Rosica!B9+Gabrovo!B9+Plachkovci!B9+Sevlievo!B9+Bqla!B9+Dunav_Ruse!B9+Silistra!B9+Tutrakan!B9+Seslav!B9+Karakuz!B9+Razgrad!B9+Voden!B9</f>
        <v>11221.13</v>
      </c>
      <c r="C9" s="163">
        <f>Bujnovci!C9+Elena!C9+Bolqrka!C9+Gorna!C9+Svishtov!C9+Rosica!C9+Gabrovo!C9+Plachkovci!C9+Sevlievo!C9+Bqla!C9+Dunav_Ruse!C9+Silistra!C9+Tutrakan!C9+Seslav!C9+Karakuz!C9+Razgrad!C9+Voden!C9</f>
        <v>644211</v>
      </c>
      <c r="D9" s="163">
        <f>Bujnovci!D9+Elena!D9+Bolqrka!D9+Gorna!D9+Svishtov!D9+Rosica!D9+Gabrovo!D9+Plachkovci!D9+Sevlievo!D9+Bqla!D9+Dunav_Ruse!D9+Silistra!D9+Tutrakan!D9+Seslav!D9+Karakuz!D9+Razgrad!D9+Voden!D9</f>
        <v>547079.5</v>
      </c>
      <c r="E9" s="163">
        <f>Bujnovci!E9+Elena!E9+Bolqrka!E9+Gorna!E9+Svishtov!E9+Rosica!E9+Gabrovo!E9+Plachkovci!E9+Sevlievo!E9+Bqla!E9+Dunav_Ruse!E9+Silistra!E9+Tutrakan!E9+Seslav!E9+Karakuz!E9+Razgrad!E9+Voden!E9</f>
        <v>97620</v>
      </c>
      <c r="F9" s="163">
        <f>Bujnovci!F9+Elena!F9+Bolqrka!F9+Gorna!F9+Svishtov!F9+Rosica!F9+Gabrovo!F9+Plachkovci!F9+Sevlievo!F9+Bqla!F9+Dunav_Ruse!F9+Silistra!F9+Tutrakan!F9+Seslav!F9+Karakuz!F9+Razgrad!F9+Voden!F9</f>
        <v>125477.5</v>
      </c>
      <c r="G9" s="163">
        <f>Bujnovci!G9+Elena!G9+Bolqrka!G9+Gorna!G9+Svishtov!G9+Rosica!G9+Gabrovo!G9+Plachkovci!G9+Sevlievo!G9+Bqla!G9+Dunav_Ruse!G9+Silistra!G9+Tutrakan!G9+Seslav!G9+Karakuz!G9+Razgrad!G9+Voden!G9</f>
        <v>36312</v>
      </c>
      <c r="H9" s="163">
        <f>Bujnovci!H9+Elena!H9+Bolqrka!H9+Gorna!H9+Svishtov!H9+Rosica!H9+Gabrovo!H9+Plachkovci!H9+Sevlievo!H9+Bqla!H9+Dunav_Ruse!H9+Silistra!H9+Tutrakan!H9+Seslav!H9+Karakuz!H9+Razgrad!H9+Voden!H9</f>
        <v>287247</v>
      </c>
      <c r="I9" s="164"/>
      <c r="J9" s="172" t="s">
        <v>18</v>
      </c>
      <c r="K9" s="165">
        <f>Bujnovci!K9+Elena!K9+Bolqrka!K9+Gorna!K9+Svishtov!K9+Rosica!K9+Gabrovo!K9+Plachkovci!K9+Sevlievo!K9+Bqla!K9+Dunav_Ruse!K9+Silistra!K9+Tutrakan!K9+Seslav!K9+Karakuz!K9+Razgrad!K9+Voden!K9</f>
        <v>3999.1800000000003</v>
      </c>
      <c r="L9" s="163">
        <f>Bujnovci!L9+Elena!L9+Bolqrka!L9+Gorna!L9+Svishtov!L9+Rosica!L9+Gabrovo!L9+Plachkovci!L9+Sevlievo!L9+Bqla!L9+Dunav_Ruse!L9+Silistra!L9+Tutrakan!L9+Seslav!L9+Karakuz!L9+Razgrad!L9+Voden!L9</f>
        <v>155779.5</v>
      </c>
      <c r="M9" s="163">
        <f>Bujnovci!M9+Elena!M9+Bolqrka!M9+Gorna!M9+Svishtov!M9+Rosica!M9+Gabrovo!M9+Plachkovci!M9+Sevlievo!M9+Bqla!M9+Dunav_Ruse!M9+Silistra!M9+Tutrakan!M9+Seslav!M9+Karakuz!M9+Razgrad!M9+Voden!M9</f>
        <v>124387.5</v>
      </c>
      <c r="N9" s="163">
        <f>Bujnovci!N9+Elena!N9+Bolqrka!N9+Gorna!N9+Svishtov!N9+Rosica!N9+Gabrovo!N9+Plachkovci!N9+Sevlievo!N9+Bqla!N9+Dunav_Ruse!N9+Silistra!N9+Tutrakan!N9+Seslav!N9+Karakuz!N9+Razgrad!N9+Voden!N9</f>
        <v>13636</v>
      </c>
      <c r="O9" s="163">
        <f>Bujnovci!O9+Elena!O9+Bolqrka!O9+Gorna!O9+Svishtov!O9+Rosica!O9+Gabrovo!O9+Plachkovci!O9+Sevlievo!O9+Bqla!O9+Dunav_Ruse!O9+Silistra!O9+Tutrakan!O9+Seslav!O9+Karakuz!O9+Razgrad!O9+Voden!O9</f>
        <v>36450.5</v>
      </c>
      <c r="P9" s="163">
        <f>Bujnovci!P9+Elena!P9+Bolqrka!P9+Gorna!P9+Svishtov!P9+Rosica!P9+Gabrovo!P9+Plachkovci!P9+Sevlievo!P9+Bqla!P9+Dunav_Ruse!P9+Silistra!P9+Tutrakan!P9+Seslav!P9+Karakuz!P9+Razgrad!P9+Voden!P9</f>
        <v>11639.5</v>
      </c>
      <c r="Q9" s="163">
        <f>Bujnovci!Q9+Elena!Q9+Bolqrka!Q9+Gorna!Q9+Svishtov!Q9+Rosica!Q9+Gabrovo!Q9+Plachkovci!Q9+Sevlievo!Q9+Bqla!Q9+Dunav_Ruse!Q9+Silistra!Q9+Tutrakan!Q9+Seslav!Q9+Karakuz!Q9+Razgrad!Q9+Voden!Q9</f>
        <v>62367.5</v>
      </c>
      <c r="R9" s="172" t="s">
        <v>18</v>
      </c>
      <c r="S9" s="165">
        <f>Bujnovci!S9+Elena!S9+Bolqrka!S9+Gorna!S9+Svishtov!S9+Rosica!S9+Gabrovo!S9+Plachkovci!S9+Sevlievo!S9+Bqla!S9+Dunav_Ruse!S9+Silistra!S9+Tutrakan!S9+Seslav!S9+Karakuz!S9+Razgrad!S9+Voden!S9</f>
        <v>6808.1499999999987</v>
      </c>
      <c r="T9" s="163">
        <f>Bujnovci!T9+Elena!T9+Bolqrka!T9+Gorna!T9+Svishtov!T9+Rosica!T9+Gabrovo!T9+Plachkovci!T9+Sevlievo!T9+Bqla!T9+Dunav_Ruse!T9+Silistra!T9+Tutrakan!T9+Seslav!T9+Karakuz!T9+Razgrad!T9+Voden!T9</f>
        <v>461496.5</v>
      </c>
      <c r="U9" s="163">
        <f>Bujnovci!U9+Elena!U9+Bolqrka!U9+Gorna!U9+Svishtov!U9+Rosica!U9+Gabrovo!U9+Plachkovci!U9+Sevlievo!U9+Bqla!U9+Dunav_Ruse!U9+Silistra!U9+Tutrakan!U9+Seslav!U9+Karakuz!U9+Razgrad!U9+Voden!U9</f>
        <v>402863</v>
      </c>
      <c r="V9" s="163">
        <f>Bujnovci!V9+Elena!V9+Bolqrka!V9+Gorna!V9+Svishtov!V9+Rosica!V9+Gabrovo!V9+Plachkovci!V9+Sevlievo!V9+Bqla!V9+Dunav_Ruse!V9+Silistra!V9+Tutrakan!V9+Seslav!V9+Karakuz!V9+Razgrad!V9+Voden!V9</f>
        <v>82795</v>
      </c>
      <c r="W9" s="163">
        <f>Bujnovci!W9+Elena!W9+Bolqrka!W9+Gorna!W9+Svishtov!W9+Rosica!W9+Gabrovo!W9+Plachkovci!W9+Sevlievo!W9+Bqla!W9+Dunav_Ruse!W9+Silistra!W9+Tutrakan!W9+Seslav!W9+Karakuz!W9+Razgrad!W9+Voden!W9</f>
        <v>85287</v>
      </c>
      <c r="X9" s="163">
        <f>Bujnovci!X9+Elena!X9+Bolqrka!X9+Gorna!X9+Svishtov!X9+Rosica!X9+Gabrovo!X9+Plachkovci!X9+Sevlievo!X9+Bqla!X9+Dunav_Ruse!X9+Silistra!X9+Tutrakan!X9+Seslav!X9+Karakuz!X9+Razgrad!X9+Voden!X9</f>
        <v>22278.5</v>
      </c>
      <c r="Y9" s="163">
        <f>Bujnovci!Y9+Elena!Y9+Bolqrka!Y9+Gorna!Y9+Svishtov!Y9+Rosica!Y9+Gabrovo!Y9+Plachkovci!Y9+Sevlievo!Y9+Bqla!Y9+Dunav_Ruse!Y9+Silistra!Y9+Tutrakan!Y9+Seslav!Y9+Karakuz!Y9+Razgrad!Y9+Voden!Y9</f>
        <v>212373.5</v>
      </c>
      <c r="Z9" s="164"/>
      <c r="AA9" s="172" t="s">
        <v>18</v>
      </c>
      <c r="AB9" s="165">
        <f>Bujnovci!AB9+Elena!AB9+Bolqrka!AB9+Gorna!AB9+Svishtov!AB9+Rosica!AB9+Gabrovo!AB9+Plachkovci!AB9+Sevlievo!AB9+Bqla!AB9+Dunav_Ruse!AB9+Silistra!AB9+Tutrakan!AB9+Seslav!AB9+Karakuz!AB9+Razgrad!AB9+Voden!AB9</f>
        <v>1920.6800000000003</v>
      </c>
      <c r="AC9" s="163">
        <f>Bujnovci!AC9+Elena!AC9+Bolqrka!AC9+Gorna!AC9+Svishtov!AC9+Rosica!AC9+Gabrovo!AC9+Plachkovci!AC9+Sevlievo!AC9+Bqla!AC9+Dunav_Ruse!AC9+Silistra!AC9+Tutrakan!AC9+Seslav!AC9+Karakuz!AC9+Razgrad!AC9+Voden!AC9</f>
        <v>174235</v>
      </c>
      <c r="AD9" s="163">
        <f>Bujnovci!AD9+Elena!AD9+Bolqrka!AD9+Gorna!AD9+Svishtov!AD9+Rosica!AD9+Gabrovo!AD9+Plachkovci!AD9+Sevlievo!AD9+Bqla!AD9+Dunav_Ruse!AD9+Silistra!AD9+Tutrakan!AD9+Seslav!AD9+Karakuz!AD9+Razgrad!AD9+Voden!AD9</f>
        <v>152322</v>
      </c>
      <c r="AE9" s="163">
        <f>Bujnovci!AE9+Elena!AE9+Bolqrka!AE9+Gorna!AE9+Svishtov!AE9+Rosica!AE9+Gabrovo!AE9+Plachkovci!AE9+Sevlievo!AE9+Bqla!AE9+Dunav_Ruse!AE9+Silistra!AE9+Tutrakan!AE9+Seslav!AE9+Karakuz!AE9+Razgrad!AE9+Voden!AE9</f>
        <v>66206</v>
      </c>
      <c r="AF9" s="163">
        <f>Bujnovci!AF9+Elena!AF9+Bolqrka!AF9+Gorna!AF9+Svishtov!AF9+Rosica!AF9+Gabrovo!AF9+Plachkovci!AF9+Sevlievo!AF9+Bqla!AF9+Dunav_Ruse!AF9+Silistra!AF9+Tutrakan!AF9+Seslav!AF9+Karakuz!AF9+Razgrad!AF9+Voden!AF9</f>
        <v>24386.5</v>
      </c>
      <c r="AG9" s="163">
        <f>Bujnovci!AG9+Elena!AG9+Bolqrka!AG9+Gorna!AG9+Svishtov!AG9+Rosica!AG9+Gabrovo!AG9+Plachkovci!AG9+Sevlievo!AG9+Bqla!AG9+Dunav_Ruse!AG9+Silistra!AG9+Tutrakan!AG9+Seslav!AG9+Karakuz!AG9+Razgrad!AG9+Voden!AG9</f>
        <v>5138</v>
      </c>
      <c r="AH9" s="163">
        <f>Bujnovci!AH9+Elena!AH9+Bolqrka!AH9+Gorna!AH9+Svishtov!AH9+Rosica!AH9+Gabrovo!AH9+Plachkovci!AH9+Sevlievo!AH9+Bqla!AH9+Dunav_Ruse!AH9+Silistra!AH9+Tutrakan!AH9+Seslav!AH9+Karakuz!AH9+Razgrad!AH9+Voden!AH9</f>
        <v>56537.5</v>
      </c>
      <c r="AI9" s="168"/>
      <c r="AJ9" s="163" t="s">
        <v>18</v>
      </c>
      <c r="AK9" s="165">
        <f>Bujnovci!AK9+Elena!AK9+Bolqrka!AK9+Gorna!AK9+Svishtov!AK9+Rosica!AK9+Gabrovo!AK9+Plachkovci!AK9+Sevlievo!AK9+Bqla!AK9+Dunav_Ruse!AK9+Silistra!AK9+Tutrakan!AK9+Seslav!AK9+Karakuz!AK9+Razgrad!AK9+Voden!AK9</f>
        <v>413.79999999999995</v>
      </c>
      <c r="AL9" s="163">
        <f>Bujnovci!AL9+Elena!AL9+Bolqrka!AL9+Gorna!AL9+Svishtov!AL9+Rosica!AL9+Gabrovo!AL9+Plachkovci!AL9+Sevlievo!AL9+Bqla!AL9+Dunav_Ruse!AL9+Silistra!AL9+Tutrakan!AL9+Seslav!AL9+Karakuz!AL9+Razgrad!AL9+Voden!AL9</f>
        <v>26935</v>
      </c>
      <c r="AM9" s="163">
        <f>Bujnovci!AM9+Elena!AM9+Bolqrka!AM9+Gorna!AM9+Svishtov!AM9+Rosica!AM9+Gabrovo!AM9+Plachkovci!AM9+Sevlievo!AM9+Bqla!AM9+Dunav_Ruse!AM9+Silistra!AM9+Tutrakan!AM9+Seslav!AM9+Karakuz!AM9+Razgrad!AM9+Voden!AM9</f>
        <v>19829</v>
      </c>
      <c r="AN9" s="163">
        <f>Bujnovci!AN9+Elena!AN9+Bolqrka!AN9+Gorna!AN9+Svishtov!AN9+Rosica!AN9+Gabrovo!AN9+Plachkovci!AN9+Sevlievo!AN9+Bqla!AN9+Dunav_Ruse!AN9+Silistra!AN9+Tutrakan!AN9+Seslav!AN9+Karakuz!AN9+Razgrad!AN9+Voden!AN9</f>
        <v>1189</v>
      </c>
      <c r="AO9" s="163">
        <f>Bujnovci!AO9+Elena!AO9+Bolqrka!AO9+Gorna!AO9+Svishtov!AO9+Rosica!AO9+Gabrovo!AO9+Plachkovci!AO9+Sevlievo!AO9+Bqla!AO9+Dunav_Ruse!AO9+Silistra!AO9+Tutrakan!AO9+Seslav!AO9+Karakuz!AO9+Razgrad!AO9+Voden!AO9</f>
        <v>3740</v>
      </c>
      <c r="AP9" s="163">
        <f>Bujnovci!AP9+Elena!AP9+Bolqrka!AP9+Gorna!AP9+Svishtov!AP9+Rosica!AP9+Gabrovo!AP9+Plachkovci!AP9+Sevlievo!AP9+Bqla!AP9+Dunav_Ruse!AP9+Silistra!AP9+Tutrakan!AP9+Seslav!AP9+Karakuz!AP9+Razgrad!AP9+Voden!AP9</f>
        <v>2394</v>
      </c>
      <c r="AQ9" s="163">
        <f>Bujnovci!AQ9+Elena!AQ9+Bolqrka!AQ9+Gorna!AQ9+Svishtov!AQ9+Rosica!AQ9+Gabrovo!AQ9+Plachkovci!AQ9+Sevlievo!AQ9+Bqla!AQ9+Dunav_Ruse!AQ9+Silistra!AQ9+Tutrakan!AQ9+Seslav!AQ9+Karakuz!AQ9+Razgrad!AQ9+Voden!AQ9</f>
        <v>12506</v>
      </c>
      <c r="AR9" s="164"/>
      <c r="AS9" s="164"/>
    </row>
    <row r="10" spans="1:50">
      <c r="A10" s="170" t="s">
        <v>19</v>
      </c>
      <c r="B10" s="167">
        <f>Bujnovci!B10+Elena!B10+Bolqrka!B10+Gorna!B10+Svishtov!B10+Rosica!B10+Gabrovo!B10+Plachkovci!B10+Sevlievo!B10+Bqla!B10+Dunav_Ruse!B10+Silistra!B10+Tutrakan!B10+Seslav!B10+Karakuz!B10+Razgrad!B10+Voden!B10</f>
        <v>9878.43</v>
      </c>
      <c r="C10" s="169">
        <f>Bujnovci!C10+Elena!C10+Bolqrka!C10+Gorna!C10+Svishtov!C10+Rosica!C10+Gabrovo!C10+Plachkovci!C10+Sevlievo!C10+Bqla!C10+Dunav_Ruse!C10+Silistra!C10+Tutrakan!C10+Seslav!C10+Karakuz!C10+Razgrad!C10+Voden!C10</f>
        <v>561759</v>
      </c>
      <c r="D10" s="169">
        <f>Bujnovci!D10+Elena!D10+Bolqrka!D10+Gorna!D10+Svishtov!D10+Rosica!D10+Gabrovo!D10+Plachkovci!D10+Sevlievo!D10+Bqla!D10+Dunav_Ruse!D10+Silistra!D10+Tutrakan!D10+Seslav!D10+Karakuz!D10+Razgrad!D10+Voden!D10</f>
        <v>503621</v>
      </c>
      <c r="E10" s="169">
        <f>Bujnovci!E10+Elena!E10+Bolqrka!E10+Gorna!E10+Svishtov!E10+Rosica!E10+Gabrovo!E10+Plachkovci!E10+Sevlievo!E10+Bqla!E10+Dunav_Ruse!E10+Silistra!E10+Tutrakan!E10+Seslav!E10+Karakuz!E10+Razgrad!E10+Voden!E10</f>
        <v>103434</v>
      </c>
      <c r="F10" s="169">
        <f>Bujnovci!F10+Elena!F10+Bolqrka!F10+Gorna!F10+Svishtov!F10+Rosica!F10+Gabrovo!F10+Plachkovci!F10+Sevlievo!F10+Bqla!F10+Dunav_Ruse!F10+Silistra!F10+Tutrakan!F10+Seslav!F10+Karakuz!F10+Razgrad!F10+Voden!F10</f>
        <v>69189</v>
      </c>
      <c r="G10" s="169">
        <f>Bujnovci!G10+Elena!G10+Bolqrka!G10+Gorna!G10+Svishtov!G10+Rosica!G10+Gabrovo!G10+Plachkovci!G10+Sevlievo!G10+Bqla!G10+Dunav_Ruse!G10+Silistra!G10+Tutrakan!G10+Seslav!G10+Karakuz!G10+Razgrad!G10+Voden!G10</f>
        <v>16035</v>
      </c>
      <c r="H10" s="169">
        <f>Bujnovci!H10+Elena!H10+Bolqrka!H10+Gorna!H10+Svishtov!H10+Rosica!H10+Gabrovo!H10+Plachkovci!H10+Sevlievo!H10+Bqla!H10+Dunav_Ruse!H10+Silistra!H10+Tutrakan!H10+Seslav!H10+Karakuz!H10+Razgrad!H10+Voden!H10</f>
        <v>314963</v>
      </c>
      <c r="I10" s="164"/>
      <c r="J10" s="170" t="s">
        <v>19</v>
      </c>
      <c r="K10" s="167">
        <f>Bujnovci!K10+Elena!K10+Bolqrka!K10+Gorna!K10+Svishtov!K10+Rosica!K10+Gabrovo!K10+Plachkovci!K10+Sevlievo!K10+Bqla!K10+Dunav_Ruse!K10+Silistra!K10+Tutrakan!K10+Seslav!K10+Karakuz!K10+Razgrad!K10+Voden!K10</f>
        <v>3368.2000000000007</v>
      </c>
      <c r="L10" s="169">
        <f>Bujnovci!L10+Elena!L10+Bolqrka!L10+Gorna!L10+Svishtov!L10+Rosica!L10+Gabrovo!L10+Plachkovci!L10+Sevlievo!L10+Bqla!L10+Dunav_Ruse!L10+Silistra!L10+Tutrakan!L10+Seslav!L10+Karakuz!L10+Razgrad!L10+Voden!L10</f>
        <v>145917</v>
      </c>
      <c r="M10" s="169">
        <f>Bujnovci!M10+Elena!M10+Bolqrka!M10+Gorna!M10+Svishtov!M10+Rosica!M10+Gabrovo!M10+Plachkovci!M10+Sevlievo!M10+Bqla!M10+Dunav_Ruse!M10+Silistra!M10+Tutrakan!M10+Seslav!M10+Karakuz!M10+Razgrad!M10+Voden!M10</f>
        <v>128414</v>
      </c>
      <c r="N10" s="169">
        <f>Bujnovci!N10+Elena!N10+Bolqrka!N10+Gorna!N10+Svishtov!N10+Rosica!N10+Gabrovo!N10+Plachkovci!N10+Sevlievo!N10+Bqla!N10+Dunav_Ruse!N10+Silistra!N10+Tutrakan!N10+Seslav!N10+Karakuz!N10+Razgrad!N10+Voden!N10</f>
        <v>19368</v>
      </c>
      <c r="O10" s="169">
        <f>Bujnovci!O10+Elena!O10+Bolqrka!O10+Gorna!O10+Svishtov!O10+Rosica!O10+Gabrovo!O10+Plachkovci!O10+Sevlievo!O10+Bqla!O10+Dunav_Ruse!O10+Silistra!O10+Tutrakan!O10+Seslav!O10+Karakuz!O10+Razgrad!O10+Voden!O10</f>
        <v>19329</v>
      </c>
      <c r="P10" s="169">
        <f>Bujnovci!P10+Elena!P10+Bolqrka!P10+Gorna!P10+Svishtov!P10+Rosica!P10+Gabrovo!P10+Plachkovci!P10+Sevlievo!P10+Bqla!P10+Dunav_Ruse!P10+Silistra!P10+Tutrakan!P10+Seslav!P10+Karakuz!P10+Razgrad!P10+Voden!P10</f>
        <v>2908</v>
      </c>
      <c r="Q10" s="169">
        <f>Bujnovci!Q10+Elena!Q10+Bolqrka!Q10+Gorna!Q10+Svishtov!Q10+Rosica!Q10+Gabrovo!Q10+Plachkovci!Q10+Sevlievo!Q10+Bqla!Q10+Dunav_Ruse!Q10+Silistra!Q10+Tutrakan!Q10+Seslav!Q10+Karakuz!Q10+Razgrad!Q10+Voden!Q10</f>
        <v>86809</v>
      </c>
      <c r="R10" s="197" t="s">
        <v>19</v>
      </c>
      <c r="S10" s="167">
        <f>Bujnovci!S10+Elena!S10+Bolqrka!S10+Gorna!S10+Svishtov!S10+Rosica!S10+Gabrovo!S10+Plachkovci!S10+Sevlievo!S10+Bqla!S10+Dunav_Ruse!S10+Silistra!S10+Tutrakan!S10+Seslav!S10+Karakuz!S10+Razgrad!S10+Voden!S10</f>
        <v>6392.3499999999995</v>
      </c>
      <c r="T10" s="169">
        <f>Bujnovci!T10+Elena!T10+Bolqrka!T10+Gorna!T10+Svishtov!T10+Rosica!T10+Gabrovo!T10+Plachkovci!T10+Sevlievo!T10+Bqla!T10+Dunav_Ruse!T10+Silistra!T10+Tutrakan!T10+Seslav!T10+Karakuz!T10+Razgrad!T10+Voden!T10</f>
        <v>407680</v>
      </c>
      <c r="U10" s="169">
        <f>Bujnovci!U10+Elena!U10+Bolqrka!U10+Gorna!U10+Svishtov!U10+Rosica!U10+Gabrovo!U10+Plachkovci!U10+Sevlievo!U10+Bqla!U10+Dunav_Ruse!U10+Silistra!U10+Tutrakan!U10+Seslav!U10+Karakuz!U10+Razgrad!U10+Voden!U10</f>
        <v>367927</v>
      </c>
      <c r="V10" s="169">
        <f>Bujnovci!V10+Elena!V10+Bolqrka!V10+Gorna!V10+Svishtov!V10+Rosica!V10+Gabrovo!V10+Plachkovci!V10+Sevlievo!V10+Bqla!V10+Dunav_Ruse!V10+Silistra!V10+Tutrakan!V10+Seslav!V10+Karakuz!V10+Razgrad!V10+Voden!V10</f>
        <v>83153</v>
      </c>
      <c r="W10" s="169">
        <f>Bujnovci!W10+Elena!W10+Bolqrka!W10+Gorna!W10+Svishtov!W10+Rosica!W10+Gabrovo!W10+Plachkovci!W10+Sevlievo!W10+Bqla!W10+Dunav_Ruse!W10+Silistra!W10+Tutrakan!W10+Seslav!W10+Karakuz!W10+Razgrad!W10+Voden!W10</f>
        <v>49392</v>
      </c>
      <c r="X10" s="169">
        <f>Bujnovci!X10+Elena!X10+Bolqrka!X10+Gorna!X10+Svishtov!X10+Rosica!X10+Gabrovo!X10+Plachkovci!X10+Sevlievo!X10+Bqla!X10+Dunav_Ruse!X10+Silistra!X10+Tutrakan!X10+Seslav!X10+Karakuz!X10+Razgrad!X10+Voden!X10</f>
        <v>13083</v>
      </c>
      <c r="Y10" s="169">
        <f>Bujnovci!Y10+Elena!Y10+Bolqrka!Y10+Gorna!Y10+Svishtov!Y10+Rosica!Y10+Gabrovo!Y10+Plachkovci!Y10+Sevlievo!Y10+Bqla!Y10+Dunav_Ruse!Y10+Silistra!Y10+Tutrakan!Y10+Seslav!Y10+Karakuz!Y10+Razgrad!Y10+Voden!Y10</f>
        <v>222309</v>
      </c>
      <c r="Z10" s="164"/>
      <c r="AA10" s="170" t="s">
        <v>19</v>
      </c>
      <c r="AB10" s="167">
        <f>Bujnovci!AB10+Elena!AB10+Bolqrka!AB10+Gorna!AB10+Svishtov!AB10+Rosica!AB10+Gabrovo!AB10+Plachkovci!AB10+Sevlievo!AB10+Bqla!AB10+Dunav_Ruse!AB10+Silistra!AB10+Tutrakan!AB10+Seslav!AB10+Karakuz!AB10+Razgrad!AB10+Voden!AB10</f>
        <v>1333.4</v>
      </c>
      <c r="AC10" s="169">
        <f>Bujnovci!AC10+Elena!AC10+Bolqrka!AC10+Gorna!AC10+Svishtov!AC10+Rosica!AC10+Gabrovo!AC10+Plachkovci!AC10+Sevlievo!AC10+Bqla!AC10+Dunav_Ruse!AC10+Silistra!AC10+Tutrakan!AC10+Seslav!AC10+Karakuz!AC10+Razgrad!AC10+Voden!AC10</f>
        <v>137263</v>
      </c>
      <c r="AD10" s="169">
        <f>Bujnovci!AD10+Elena!AD10+Bolqrka!AD10+Gorna!AD10+Svishtov!AD10+Rosica!AD10+Gabrovo!AD10+Plachkovci!AD10+Sevlievo!AD10+Bqla!AD10+Dunav_Ruse!AD10+Silistra!AD10+Tutrakan!AD10+Seslav!AD10+Karakuz!AD10+Razgrad!AD10+Voden!AD10</f>
        <v>124262</v>
      </c>
      <c r="AE10" s="169">
        <f>Bujnovci!AE10+Elena!AE10+Bolqrka!AE10+Gorna!AE10+Svishtov!AE10+Rosica!AE10+Gabrovo!AE10+Plachkovci!AE10+Sevlievo!AE10+Bqla!AE10+Dunav_Ruse!AE10+Silistra!AE10+Tutrakan!AE10+Seslav!AE10+Karakuz!AE10+Razgrad!AE10+Voden!AE10</f>
        <v>57652</v>
      </c>
      <c r="AF10" s="169">
        <f>Bujnovci!AF10+Elena!AF10+Bolqrka!AF10+Gorna!AF10+Svishtov!AF10+Rosica!AF10+Gabrovo!AF10+Plachkovci!AF10+Sevlievo!AF10+Bqla!AF10+Dunav_Ruse!AF10+Silistra!AF10+Tutrakan!AF10+Seslav!AF10+Karakuz!AF10+Razgrad!AF10+Voden!AF10</f>
        <v>14517</v>
      </c>
      <c r="AG10" s="169">
        <f>Bujnovci!AG10+Elena!AG10+Bolqrka!AG10+Gorna!AG10+Svishtov!AG10+Rosica!AG10+Gabrovo!AG10+Plachkovci!AG10+Sevlievo!AG10+Bqla!AG10+Dunav_Ruse!AG10+Silistra!AG10+Tutrakan!AG10+Seslav!AG10+Karakuz!AG10+Razgrad!AG10+Voden!AG10</f>
        <v>3248</v>
      </c>
      <c r="AH10" s="169">
        <f>Bujnovci!AH10+Elena!AH10+Bolqrka!AH10+Gorna!AH10+Svishtov!AH10+Rosica!AH10+Gabrovo!AH10+Plachkovci!AH10+Sevlievo!AH10+Bqla!AH10+Dunav_Ruse!AH10+Silistra!AH10+Tutrakan!AH10+Seslav!AH10+Karakuz!AH10+Razgrad!AH10+Voden!AH10</f>
        <v>48845</v>
      </c>
      <c r="AI10" s="168"/>
      <c r="AJ10" s="169" t="s">
        <v>19</v>
      </c>
      <c r="AK10" s="167">
        <f>Bujnovci!AK10+Elena!AK10+Bolqrka!AK10+Gorna!AK10+Svishtov!AK10+Rosica!AK10+Gabrovo!AK10+Plachkovci!AK10+Sevlievo!AK10+Bqla!AK10+Dunav_Ruse!AK10+Silistra!AK10+Tutrakan!AK10+Seslav!AK10+Karakuz!AK10+Razgrad!AK10+Voden!AK10</f>
        <v>117.88</v>
      </c>
      <c r="AL10" s="169">
        <f>Bujnovci!AL10+Elena!AL10+Bolqrka!AL10+Gorna!AL10+Svishtov!AL10+Rosica!AL10+Gabrovo!AL10+Plachkovci!AL10+Sevlievo!AL10+Bqla!AL10+Dunav_Ruse!AL10+Silistra!AL10+Tutrakan!AL10+Seslav!AL10+Karakuz!AL10+Razgrad!AL10+Voden!AL10</f>
        <v>8162</v>
      </c>
      <c r="AM10" s="169">
        <f>Bujnovci!AM10+Elena!AM10+Bolqrka!AM10+Gorna!AM10+Svishtov!AM10+Rosica!AM10+Gabrovo!AM10+Plachkovci!AM10+Sevlievo!AM10+Bqla!AM10+Dunav_Ruse!AM10+Silistra!AM10+Tutrakan!AM10+Seslav!AM10+Karakuz!AM10+Razgrad!AM10+Voden!AM10</f>
        <v>7270</v>
      </c>
      <c r="AN10" s="169">
        <f>Bujnovci!AN10+Elena!AN10+Bolqrka!AN10+Gorna!AN10+Svishtov!AN10+Rosica!AN10+Gabrovo!AN10+Plachkovci!AN10+Sevlievo!AN10+Bqla!AN10+Dunav_Ruse!AN10+Silistra!AN10+Tutrakan!AN10+Seslav!AN10+Karakuz!AN10+Razgrad!AN10+Voden!AN10</f>
        <v>913</v>
      </c>
      <c r="AO10" s="169">
        <f>Bujnovci!AO10+Elena!AO10+Bolqrka!AO10+Gorna!AO10+Svishtov!AO10+Rosica!AO10+Gabrovo!AO10+Plachkovci!AO10+Sevlievo!AO10+Bqla!AO10+Dunav_Ruse!AO10+Silistra!AO10+Tutrakan!AO10+Seslav!AO10+Karakuz!AO10+Razgrad!AO10+Voden!AO10</f>
        <v>468</v>
      </c>
      <c r="AP10" s="169">
        <f>Bujnovci!AP10+Elena!AP10+Bolqrka!AP10+Gorna!AP10+Svishtov!AP10+Rosica!AP10+Gabrovo!AP10+Plachkovci!AP10+Sevlievo!AP10+Bqla!AP10+Dunav_Ruse!AP10+Silistra!AP10+Tutrakan!AP10+Seslav!AP10+Karakuz!AP10+Razgrad!AP10+Voden!AP10</f>
        <v>44</v>
      </c>
      <c r="AQ10" s="169">
        <f>Bujnovci!AQ10+Elena!AQ10+Bolqrka!AQ10+Gorna!AQ10+Svishtov!AQ10+Rosica!AQ10+Gabrovo!AQ10+Plachkovci!AQ10+Sevlievo!AQ10+Bqla!AQ10+Dunav_Ruse!AQ10+Silistra!AQ10+Tutrakan!AQ10+Seslav!AQ10+Karakuz!AQ10+Razgrad!AQ10+Voden!AQ10</f>
        <v>5845</v>
      </c>
      <c r="AR10" s="164"/>
      <c r="AS10" s="164"/>
    </row>
    <row r="11" spans="1:50" ht="12">
      <c r="A11" s="172" t="s">
        <v>20</v>
      </c>
      <c r="B11" s="163">
        <f t="shared" ref="B11:H11" si="0">B10/B9*100</f>
        <v>88.034181940677996</v>
      </c>
      <c r="C11" s="163">
        <f t="shared" si="0"/>
        <v>87.201087842337373</v>
      </c>
      <c r="D11" s="163">
        <f t="shared" si="0"/>
        <v>92.056273356980114</v>
      </c>
      <c r="E11" s="163">
        <f t="shared" si="0"/>
        <v>105.95574677320221</v>
      </c>
      <c r="F11" s="163">
        <f t="shared" si="0"/>
        <v>55.140563049152234</v>
      </c>
      <c r="G11" s="163">
        <f t="shared" si="0"/>
        <v>44.15895571711831</v>
      </c>
      <c r="H11" s="163">
        <f t="shared" si="0"/>
        <v>109.64883880423469</v>
      </c>
      <c r="I11" s="164"/>
      <c r="J11" s="172" t="s">
        <v>20</v>
      </c>
      <c r="K11" s="163">
        <f t="shared" ref="K11:Q11" si="1">K10/K9*100</f>
        <v>84.222265564440718</v>
      </c>
      <c r="L11" s="163">
        <f t="shared" si="1"/>
        <v>93.668935899781431</v>
      </c>
      <c r="M11" s="163">
        <f t="shared" si="1"/>
        <v>103.23706160184906</v>
      </c>
      <c r="N11" s="163">
        <f t="shared" si="1"/>
        <v>142.03578762100321</v>
      </c>
      <c r="O11" s="163">
        <f t="shared" si="1"/>
        <v>53.028079175868648</v>
      </c>
      <c r="P11" s="163">
        <f t="shared" si="1"/>
        <v>24.983891060612571</v>
      </c>
      <c r="Q11" s="163">
        <f t="shared" si="1"/>
        <v>139.18948170120655</v>
      </c>
      <c r="R11" s="172" t="s">
        <v>20</v>
      </c>
      <c r="S11" s="163">
        <f t="shared" ref="S11:Y11" si="2">S10/S9*100</f>
        <v>93.892613999397796</v>
      </c>
      <c r="T11" s="163">
        <f t="shared" si="2"/>
        <v>88.338698126638022</v>
      </c>
      <c r="U11" s="163">
        <f t="shared" si="2"/>
        <v>91.328069343672652</v>
      </c>
      <c r="V11" s="163">
        <f t="shared" si="2"/>
        <v>100.43239326046259</v>
      </c>
      <c r="W11" s="163">
        <f t="shared" si="2"/>
        <v>57.912694783495724</v>
      </c>
      <c r="X11" s="163">
        <f t="shared" si="2"/>
        <v>58.724779495926569</v>
      </c>
      <c r="Y11" s="163">
        <f t="shared" si="2"/>
        <v>104.67831438479848</v>
      </c>
      <c r="Z11" s="164"/>
      <c r="AA11" s="172" t="s">
        <v>20</v>
      </c>
      <c r="AB11" s="163">
        <f t="shared" ref="AB11:AH11" si="3">AB10/AB9*100</f>
        <v>69.423329237561688</v>
      </c>
      <c r="AC11" s="163">
        <f t="shared" si="3"/>
        <v>78.780382816311302</v>
      </c>
      <c r="AD11" s="163">
        <f t="shared" si="3"/>
        <v>81.578498181483965</v>
      </c>
      <c r="AE11" s="163">
        <f t="shared" si="3"/>
        <v>87.079720871220132</v>
      </c>
      <c r="AF11" s="163">
        <f t="shared" si="3"/>
        <v>59.528837676583358</v>
      </c>
      <c r="AG11" s="163">
        <f t="shared" si="3"/>
        <v>63.21525885558583</v>
      </c>
      <c r="AH11" s="163">
        <f t="shared" si="3"/>
        <v>86.393986292283884</v>
      </c>
      <c r="AI11" s="171"/>
      <c r="AJ11" s="202" t="s">
        <v>20</v>
      </c>
      <c r="AK11" s="163">
        <f t="shared" ref="AK11:AQ11" si="4">AK10/AK9*100</f>
        <v>28.487191880135331</v>
      </c>
      <c r="AL11" s="163">
        <f t="shared" si="4"/>
        <v>30.302580285873397</v>
      </c>
      <c r="AM11" s="163">
        <f t="shared" si="4"/>
        <v>36.663472691512432</v>
      </c>
      <c r="AN11" s="163">
        <f t="shared" si="4"/>
        <v>76.787216148023546</v>
      </c>
      <c r="AO11" s="163">
        <f t="shared" si="4"/>
        <v>12.513368983957218</v>
      </c>
      <c r="AP11" s="163">
        <f t="shared" si="4"/>
        <v>1.8379281537176273</v>
      </c>
      <c r="AQ11" s="163">
        <f t="shared" si="4"/>
        <v>46.737565968335197</v>
      </c>
      <c r="AR11" s="164"/>
      <c r="AS11" s="164"/>
    </row>
    <row r="12" spans="1:50" ht="12">
      <c r="A12" s="172" t="s">
        <v>11</v>
      </c>
      <c r="B12" s="169"/>
      <c r="C12" s="169"/>
      <c r="D12" s="169"/>
      <c r="E12" s="169"/>
      <c r="F12" s="169"/>
      <c r="G12" s="169"/>
      <c r="H12" s="169"/>
      <c r="I12" s="164"/>
      <c r="J12" s="172" t="s">
        <v>11</v>
      </c>
      <c r="K12" s="169"/>
      <c r="L12" s="169"/>
      <c r="M12" s="169"/>
      <c r="N12" s="169"/>
      <c r="O12" s="169"/>
      <c r="P12" s="169"/>
      <c r="Q12" s="169"/>
      <c r="R12" s="172" t="s">
        <v>11</v>
      </c>
      <c r="S12" s="163"/>
      <c r="T12" s="163"/>
      <c r="U12" s="163"/>
      <c r="V12" s="163"/>
      <c r="W12" s="163"/>
      <c r="X12" s="163"/>
      <c r="Y12" s="163"/>
      <c r="Z12" s="164"/>
      <c r="AA12" s="172" t="s">
        <v>11</v>
      </c>
      <c r="AB12" s="163"/>
      <c r="AC12" s="163"/>
      <c r="AD12" s="163"/>
      <c r="AE12" s="163"/>
      <c r="AF12" s="163"/>
      <c r="AG12" s="163"/>
      <c r="AH12" s="163"/>
      <c r="AI12" s="173"/>
      <c r="AJ12" s="163" t="s">
        <v>11</v>
      </c>
      <c r="AK12" s="172"/>
      <c r="AL12" s="163"/>
      <c r="AM12" s="163"/>
      <c r="AN12" s="163"/>
      <c r="AO12" s="163"/>
      <c r="AP12" s="163"/>
      <c r="AQ12" s="163"/>
      <c r="AR12" s="164"/>
      <c r="AS12" s="164"/>
    </row>
    <row r="13" spans="1:50" ht="12">
      <c r="A13" s="172" t="s">
        <v>18</v>
      </c>
      <c r="B13" s="165">
        <f>Bujnovci!B13+Elena!B13+Bolqrka!B13+Gorna!B13+Svishtov!B13+Rosica!B13+Gabrovo!B13+Plachkovci!B13+Sevlievo!B13+Bqla!B13+Dunav_Ruse!B13+Silistra!B13+Tutrakan!B13+Seslav!B13+Karakuz!B13+Razgrad!B13+Voden!B13</f>
        <v>1034.3700000000001</v>
      </c>
      <c r="C13" s="163">
        <f>Bujnovci!C13+Elena!C13+Bolqrka!C13+Gorna!C13+Svishtov!C13+Rosica!C13+Gabrovo!C13+Plachkovci!C13+Sevlievo!C13+Bqla!C13+Dunav_Ruse!C13+Silistra!C13+Tutrakan!C13+Seslav!C13+Karakuz!C13+Razgrad!C13+Voden!C13</f>
        <v>71232.5</v>
      </c>
      <c r="D13" s="163">
        <f>Bujnovci!D13+Elena!D13+Bolqrka!D13+Gorna!D13+Svishtov!D13+Rosica!D13+Gabrovo!D13+Plachkovci!D13+Sevlievo!D13+Bqla!D13+Dunav_Ruse!D13+Silistra!D13+Tutrakan!D13+Seslav!D13+Karakuz!D13+Razgrad!D13+Voden!D13</f>
        <v>52126</v>
      </c>
      <c r="E13" s="163">
        <f>Bujnovci!E13+Elena!E13+Bolqrka!E13+Gorna!E13+Svishtov!E13+Rosica!E13+Gabrovo!E13+Plachkovci!E13+Sevlievo!E13+Bqla!E13+Dunav_Ruse!E13+Silistra!E13+Tutrakan!E13+Seslav!E13+Karakuz!E13+Razgrad!E13+Voden!E13</f>
        <v>10390</v>
      </c>
      <c r="F13" s="163">
        <f>Bujnovci!F13+Elena!F13+Bolqrka!F13+Gorna!F13+Svishtov!F13+Rosica!F13+Gabrovo!F13+Plachkovci!F13+Sevlievo!F13+Bqla!F13+Dunav_Ruse!F13+Silistra!F13+Tutrakan!F13+Seslav!F13+Karakuz!F13+Razgrad!F13+Voden!F13</f>
        <v>19545.5</v>
      </c>
      <c r="G13" s="163">
        <f>Bujnovci!G13+Elena!G13+Bolqrka!G13+Gorna!G13+Svishtov!G13+Rosica!G13+Gabrovo!G13+Plachkovci!G13+Sevlievo!G13+Bqla!G13+Dunav_Ruse!G13+Silistra!G13+Tutrakan!G13+Seslav!G13+Karakuz!G13+Razgrad!G13+Voden!G13</f>
        <v>6949</v>
      </c>
      <c r="H13" s="163">
        <f>Bujnovci!H13+Elena!H13+Bolqrka!H13+Gorna!H13+Svishtov!H13+Rosica!H13+Gabrovo!H13+Plachkovci!H13+Sevlievo!H13+Bqla!H13+Dunav_Ruse!H13+Silistra!H13+Tutrakan!H13+Seslav!H13+Karakuz!H13+Razgrad!H13+Voden!H13</f>
        <v>15100</v>
      </c>
      <c r="I13" s="164"/>
      <c r="J13" s="172" t="s">
        <v>18</v>
      </c>
      <c r="K13" s="165">
        <f>Bujnovci!K13+Elena!K13+Bolqrka!K13+Gorna!K13+Svishtov!K13+Rosica!K13+Gabrovo!K13+Plachkovci!K13+Sevlievo!K13+Bqla!K13+Dunav_Ruse!K13+Silistra!K13+Tutrakan!K13+Seslav!K13+Karakuz!K13+Razgrad!K13+Voden!K13</f>
        <v>709.93999999999994</v>
      </c>
      <c r="L13" s="163">
        <f>Bujnovci!L13+Elena!L13+Bolqrka!L13+Gorna!L13+Svishtov!L13+Rosica!L13+Gabrovo!L13+Plachkovci!L13+Sevlievo!L13+Bqla!L13+Dunav_Ruse!L13+Silistra!L13+Tutrakan!L13+Seslav!L13+Karakuz!L13+Razgrad!L13+Voden!L13</f>
        <v>42418</v>
      </c>
      <c r="M13" s="163">
        <f>Bujnovci!M13+Elena!M13+Bolqrka!M13+Gorna!M13+Svishtov!M13+Rosica!M13+Gabrovo!M13+Plachkovci!M13+Sevlievo!M13+Bqla!M13+Dunav_Ruse!M13+Silistra!M13+Tutrakan!M13+Seslav!M13+Karakuz!M13+Razgrad!M13+Voden!M13</f>
        <v>31140</v>
      </c>
      <c r="N13" s="163">
        <f>Bujnovci!N13+Elena!N13+Bolqrka!N13+Gorna!N13+Svishtov!N13+Rosica!N13+Gabrovo!N13+Plachkovci!N13+Sevlievo!N13+Bqla!N13+Dunav_Ruse!N13+Silistra!N13+Tutrakan!N13+Seslav!N13+Karakuz!N13+Razgrad!N13+Voden!N13</f>
        <v>5719.5</v>
      </c>
      <c r="O13" s="163">
        <f>Bujnovci!O13+Elena!O13+Bolqrka!O13+Gorna!O13+Svishtov!O13+Rosica!O13+Gabrovo!O13+Plachkovci!O13+Sevlievo!O13+Bqla!O13+Dunav_Ruse!O13+Silistra!O13+Tutrakan!O13+Seslav!O13+Karakuz!O13+Razgrad!O13+Voden!O13</f>
        <v>13737.5</v>
      </c>
      <c r="P13" s="163">
        <f>Bujnovci!P13+Elena!P13+Bolqrka!P13+Gorna!P13+Svishtov!P13+Rosica!P13+Gabrovo!P13+Plachkovci!P13+Sevlievo!P13+Bqla!P13+Dunav_Ruse!P13+Silistra!P13+Tutrakan!P13+Seslav!P13+Karakuz!P13+Razgrad!P13+Voden!P13</f>
        <v>4457</v>
      </c>
      <c r="Q13" s="163">
        <f>Bujnovci!Q13+Elena!Q13+Bolqrka!Q13+Gorna!Q13+Svishtov!Q13+Rosica!Q13+Gabrovo!Q13+Plachkovci!Q13+Sevlievo!Q13+Bqla!Q13+Dunav_Ruse!Q13+Silistra!Q13+Tutrakan!Q13+Seslav!Q13+Karakuz!Q13+Razgrad!Q13+Voden!Q13</f>
        <v>7097.5</v>
      </c>
      <c r="R13" s="172" t="s">
        <v>18</v>
      </c>
      <c r="S13" s="165">
        <f>Bujnovci!S13+Elena!S13+Bolqrka!S13+Gorna!S13+Svishtov!S13+Rosica!S13+Gabrovo!S13+Plachkovci!S13+Sevlievo!S13+Bqla!S13+Dunav_Ruse!S13+Silistra!S13+Tutrakan!S13+Seslav!S13+Karakuz!S13+Razgrad!S13+Voden!S13</f>
        <v>176.73000000000005</v>
      </c>
      <c r="T13" s="163">
        <f>Bujnovci!T13+Elena!T13+Bolqrka!T13+Gorna!T13+Svishtov!T13+Rosica!T13+Gabrovo!T13+Plachkovci!T13+Sevlievo!T13+Bqla!T13+Dunav_Ruse!T13+Silistra!T13+Tutrakan!T13+Seslav!T13+Karakuz!T13+Razgrad!T13+Voden!T13</f>
        <v>13824.5</v>
      </c>
      <c r="U13" s="163">
        <f>Bujnovci!U13+Elena!U13+Bolqrka!U13+Gorna!U13+Svishtov!U13+Rosica!U13+Gabrovo!U13+Plachkovci!U13+Sevlievo!U13+Bqla!U13+Dunav_Ruse!U13+Silistra!U13+Tutrakan!U13+Seslav!U13+Karakuz!U13+Razgrad!U13+Voden!U13</f>
        <v>10967</v>
      </c>
      <c r="V13" s="163">
        <f>Bujnovci!V13+Elena!V13+Bolqrka!V13+Gorna!V13+Svishtov!V13+Rosica!V13+Gabrovo!V13+Plachkovci!V13+Sevlievo!V13+Bqla!V13+Dunav_Ruse!V13+Silistra!V13+Tutrakan!V13+Seslav!V13+Karakuz!V13+Razgrad!V13+Voden!V13</f>
        <v>3961.5</v>
      </c>
      <c r="W13" s="163">
        <f>Bujnovci!W13+Elena!W13+Bolqrka!W13+Gorna!W13+Svishtov!W13+Rosica!W13+Gabrovo!W13+Plachkovci!W13+Sevlievo!W13+Bqla!W13+Dunav_Ruse!W13+Silistra!W13+Tutrakan!W13+Seslav!W13+Karakuz!W13+Razgrad!W13+Voden!W13</f>
        <v>3009</v>
      </c>
      <c r="X13" s="163">
        <f>Bujnovci!X13+Elena!X13+Bolqrka!X13+Gorna!X13+Svishtov!X13+Rosica!X13+Gabrovo!X13+Plachkovci!X13+Sevlievo!X13+Bqla!X13+Dunav_Ruse!X13+Silistra!X13+Tutrakan!X13+Seslav!X13+Karakuz!X13+Razgrad!X13+Voden!X13</f>
        <v>798</v>
      </c>
      <c r="Y13" s="163">
        <f>Bujnovci!Y13+Elena!Y13+Bolqrka!Y13+Gorna!Y13+Svishtov!Y13+Rosica!Y13+Gabrovo!Y13+Plachkovci!Y13+Sevlievo!Y13+Bqla!Y13+Dunav_Ruse!Y13+Silistra!Y13+Tutrakan!Y13+Seslav!Y13+Karakuz!Y13+Razgrad!Y13+Voden!Y13</f>
        <v>3185.5</v>
      </c>
      <c r="Z13" s="164"/>
      <c r="AA13" s="172" t="s">
        <v>18</v>
      </c>
      <c r="AB13" s="165">
        <f>Bujnovci!AB13+Elena!AB13+Bolqrka!AB13+Gorna!AB13+Svishtov!AB13+Rosica!AB13+Gabrovo!AB13+Plachkovci!AB13+Sevlievo!AB13+Bqla!AB13+Dunav_Ruse!AB13+Silistra!AB13+Tutrakan!AB13+Seslav!AB13+Karakuz!AB13+Razgrad!AB13+Voden!AB13</f>
        <v>174.68000000000004</v>
      </c>
      <c r="AC13" s="163">
        <f>Bujnovci!AC13+Elena!AC13+Bolqrka!AC13+Gorna!AC13+Svishtov!AC13+Rosica!AC13+Gabrovo!AC13+Plachkovci!AC13+Sevlievo!AC13+Bqla!AC13+Dunav_Ruse!AC13+Silistra!AC13+Tutrakan!AC13+Seslav!AC13+Karakuz!AC13+Razgrad!AC13+Voden!AC13</f>
        <v>13493</v>
      </c>
      <c r="AD13" s="163">
        <f>Bujnovci!AD13+Elena!AD13+Bolqrka!AD13+Gorna!AD13+Svishtov!AD13+Rosica!AD13+Gabrovo!AD13+Plachkovci!AD13+Sevlievo!AD13+Bqla!AD13+Dunav_Ruse!AD13+Silistra!AD13+Tutrakan!AD13+Seslav!AD13+Karakuz!AD13+Razgrad!AD13+Voden!AD13</f>
        <v>10708</v>
      </c>
      <c r="AE13" s="163">
        <f>Bujnovci!AE13+Elena!AE13+Bolqrka!AE13+Gorna!AE13+Svishtov!AE13+Rosica!AE13+Gabrovo!AE13+Plachkovci!AE13+Sevlievo!AE13+Bqla!AE13+Dunav_Ruse!AE13+Silistra!AE13+Tutrakan!AE13+Seslav!AE13+Karakuz!AE13+Razgrad!AE13+Voden!AE13</f>
        <v>3798.5</v>
      </c>
      <c r="AF13" s="163">
        <f>Bujnovci!AF13+Elena!AF13+Bolqrka!AF13+Gorna!AF13+Svishtov!AF13+Rosica!AF13+Gabrovo!AF13+Plachkovci!AF13+Sevlievo!AF13+Bqla!AF13+Dunav_Ruse!AF13+Silistra!AF13+Tutrakan!AF13+Seslav!AF13+Karakuz!AF13+Razgrad!AF13+Voden!AF13</f>
        <v>3020.5</v>
      </c>
      <c r="AG13" s="163">
        <f>Bujnovci!AG13+Elena!AG13+Bolqrka!AG13+Gorna!AG13+Svishtov!AG13+Rosica!AG13+Gabrovo!AG13+Plachkovci!AG13+Sevlievo!AG13+Bqla!AG13+Dunav_Ruse!AG13+Silistra!AG13+Tutrakan!AG13+Seslav!AG13+Karakuz!AG13+Razgrad!AG13+Voden!AG13</f>
        <v>751</v>
      </c>
      <c r="AH13" s="163">
        <f>Bujnovci!AH13+Elena!AH13+Bolqrka!AH13+Gorna!AH13+Svishtov!AH13+Rosica!AH13+Gabrovo!AH13+Plachkovci!AH13+Sevlievo!AH13+Bqla!AH13+Dunav_Ruse!AH13+Silistra!AH13+Tutrakan!AH13+Seslav!AH13+Karakuz!AH13+Razgrad!AH13+Voden!AH13</f>
        <v>3125.5</v>
      </c>
      <c r="AI13" s="168"/>
      <c r="AJ13" s="163" t="s">
        <v>18</v>
      </c>
      <c r="AK13" s="165">
        <f>Bujnovci!AK13+Elena!AK13+Bolqrka!AK13+Gorna!AK13+Svishtov!AK13+Rosica!AK13+Gabrovo!AK13+Plachkovci!AK13+Sevlievo!AK13+Bqla!AK13+Dunav_Ruse!AK13+Silistra!AK13+Tutrakan!AK13+Seslav!AK13+Karakuz!AK13+Razgrad!AK13+Voden!AK13</f>
        <v>147.70000000000002</v>
      </c>
      <c r="AL13" s="163">
        <f>Bujnovci!AL13+Elena!AL13+Bolqrka!AL13+Gorna!AL13+Svishtov!AL13+Rosica!AL13+Gabrovo!AL13+Plachkovci!AL13+Sevlievo!AL13+Bqla!AL13+Dunav_Ruse!AL13+Silistra!AL13+Tutrakan!AL13+Seslav!AL13+Karakuz!AL13+Razgrad!AL13+Voden!AL13</f>
        <v>14990</v>
      </c>
      <c r="AM13" s="163">
        <f>Bujnovci!AM13+Elena!AM13+Bolqrka!AM13+Gorna!AM13+Svishtov!AM13+Rosica!AM13+Gabrovo!AM13+Plachkovci!AM13+Sevlievo!AM13+Bqla!AM13+Dunav_Ruse!AM13+Silistra!AM13+Tutrakan!AM13+Seslav!AM13+Karakuz!AM13+Razgrad!AM13+Voden!AM13</f>
        <v>10019</v>
      </c>
      <c r="AN13" s="163">
        <f>Bujnovci!AN13+Elena!AN13+Bolqrka!AN13+Gorna!AN13+Svishtov!AN13+Rosica!AN13+Gabrovo!AN13+Plachkovci!AN13+Sevlievo!AN13+Bqla!AN13+Dunav_Ruse!AN13+Silistra!AN13+Tutrakan!AN13+Seslav!AN13+Karakuz!AN13+Razgrad!AN13+Voden!AN13</f>
        <v>709</v>
      </c>
      <c r="AO13" s="163">
        <f>Bujnovci!AO13+Elena!AO13+Bolqrka!AO13+Gorna!AO13+Svishtov!AO13+Rosica!AO13+Gabrovo!AO13+Plachkovci!AO13+Sevlievo!AO13+Bqla!AO13+Dunav_Ruse!AO13+Silistra!AO13+Tutrakan!AO13+Seslav!AO13+Karakuz!AO13+Razgrad!AO13+Voden!AO13</f>
        <v>2799</v>
      </c>
      <c r="AP13" s="163">
        <f>Bujnovci!AP13+Elena!AP13+Bolqrka!AP13+Gorna!AP13+Svishtov!AP13+Rosica!AP13+Gabrovo!AP13+Plachkovci!AP13+Sevlievo!AP13+Bqla!AP13+Dunav_Ruse!AP13+Silistra!AP13+Tutrakan!AP13+Seslav!AP13+Karakuz!AP13+Razgrad!AP13+Voden!AP13</f>
        <v>1694</v>
      </c>
      <c r="AQ13" s="163">
        <f>Bujnovci!AQ13+Elena!AQ13+Bolqrka!AQ13+Gorna!AQ13+Svishtov!AQ13+Rosica!AQ13+Gabrovo!AQ13+Plachkovci!AQ13+Sevlievo!AQ13+Bqla!AQ13+Dunav_Ruse!AQ13+Silistra!AQ13+Tutrakan!AQ13+Seslav!AQ13+Karakuz!AQ13+Razgrad!AQ13+Voden!AQ13</f>
        <v>4817</v>
      </c>
      <c r="AR13" s="164"/>
      <c r="AS13" s="164"/>
    </row>
    <row r="14" spans="1:50" ht="12">
      <c r="A14" s="174" t="s">
        <v>19</v>
      </c>
      <c r="B14" s="165">
        <f>Bujnovci!B14+Elena!B14+Bolqrka!B14+Gorna!B14+Svishtov!B14+Rosica!B14+Gabrovo!B14+Plachkovci!B14+Sevlievo!B14+Bqla!B14+Dunav_Ruse!B14+Silistra!B14+Tutrakan!B14+Seslav!B14+Karakuz!B14+Razgrad!B14+Voden!B14</f>
        <v>988.7</v>
      </c>
      <c r="C14" s="163">
        <f>Bujnovci!C14+Elena!C14+Bolqrka!C14+Gorna!C14+Svishtov!C14+Rosica!C14+Gabrovo!C14+Plachkovci!C14+Sevlievo!C14+Bqla!C14+Dunav_Ruse!C14+Silistra!C14+Tutrakan!C14+Seslav!C14+Karakuz!C14+Razgrad!C14+Voden!C14</f>
        <v>63977</v>
      </c>
      <c r="D14" s="163">
        <f>Bujnovci!D14+Elena!D14+Bolqrka!D14+Gorna!D14+Svishtov!D14+Rosica!D14+Gabrovo!D14+Plachkovci!D14+Sevlievo!D14+Bqla!D14+Dunav_Ruse!D14+Silistra!D14+Tutrakan!D14+Seslav!D14+Karakuz!D14+Razgrad!D14+Voden!D14</f>
        <v>53552</v>
      </c>
      <c r="E14" s="163">
        <f>Bujnovci!E14+Elena!E14+Bolqrka!E14+Gorna!E14+Svishtov!E14+Rosica!E14+Gabrovo!E14+Plachkovci!E14+Sevlievo!E14+Bqla!E14+Dunav_Ruse!E14+Silistra!E14+Tutrakan!E14+Seslav!E14+Karakuz!E14+Razgrad!E14+Voden!E14</f>
        <v>15320</v>
      </c>
      <c r="F14" s="163">
        <f>Bujnovci!F14+Elena!F14+Bolqrka!F14+Gorna!F14+Svishtov!F14+Rosica!F14+Gabrovo!F14+Plachkovci!F14+Sevlievo!F14+Bqla!F14+Dunav_Ruse!F14+Silistra!F14+Tutrakan!F14+Seslav!F14+Karakuz!F14+Razgrad!F14+Voden!F14</f>
        <v>10068</v>
      </c>
      <c r="G14" s="163">
        <f>Bujnovci!G14+Elena!G14+Bolqrka!G14+Gorna!G14+Svishtov!G14+Rosica!G14+Gabrovo!G14+Plachkovci!G14+Sevlievo!G14+Bqla!G14+Dunav_Ruse!G14+Silistra!G14+Tutrakan!G14+Seslav!G14+Karakuz!G14+Razgrad!G14+Voden!G14</f>
        <v>976</v>
      </c>
      <c r="H14" s="163">
        <f>Bujnovci!H14+Elena!H14+Bolqrka!H14+Gorna!H14+Svishtov!H14+Rosica!H14+Gabrovo!H14+Plachkovci!H14+Sevlievo!H14+Bqla!H14+Dunav_Ruse!H14+Silistra!H14+Tutrakan!H14+Seslav!H14+Karakuz!H14+Razgrad!H14+Voden!H14</f>
        <v>27188</v>
      </c>
      <c r="I14" s="164"/>
      <c r="J14" s="174" t="s">
        <v>19</v>
      </c>
      <c r="K14" s="165">
        <f>Bujnovci!K14+Elena!K14+Bolqrka!K14+Gorna!K14+Svishtov!K14+Rosica!K14+Gabrovo!K14+Plachkovci!K14+Sevlievo!K14+Bqla!K14+Dunav_Ruse!K14+Silistra!K14+Tutrakan!K14+Seslav!K14+Karakuz!K14+Razgrad!K14+Voden!K14</f>
        <v>748.19999999999982</v>
      </c>
      <c r="L14" s="163">
        <f>Bujnovci!L14+Elena!L14+Bolqrka!L14+Gorna!L14+Svishtov!L14+Rosica!L14+Gabrovo!L14+Plachkovci!L14+Sevlievo!L14+Bqla!L14+Dunav_Ruse!L14+Silistra!L14+Tutrakan!L14+Seslav!L14+Karakuz!L14+Razgrad!L14+Voden!L14</f>
        <v>47389</v>
      </c>
      <c r="M14" s="163">
        <f>Bujnovci!M14+Elena!M14+Bolqrka!M14+Gorna!M14+Svishtov!M14+Rosica!M14+Gabrovo!M14+Plachkovci!M14+Sevlievo!M14+Bqla!M14+Dunav_Ruse!M14+Silistra!M14+Tutrakan!M14+Seslav!M14+Karakuz!M14+Razgrad!M14+Voden!M14</f>
        <v>39669</v>
      </c>
      <c r="N14" s="163">
        <f>Bujnovci!N14+Elena!N14+Bolqrka!N14+Gorna!N14+Svishtov!N14+Rosica!N14+Gabrovo!N14+Plachkovci!N14+Sevlievo!N14+Bqla!N14+Dunav_Ruse!N14+Silistra!N14+Tutrakan!N14+Seslav!N14+Karakuz!N14+Razgrad!N14+Voden!N14</f>
        <v>11469</v>
      </c>
      <c r="O14" s="163">
        <f>Bujnovci!O14+Elena!O14+Bolqrka!O14+Gorna!O14+Svishtov!O14+Rosica!O14+Gabrovo!O14+Plachkovci!O14+Sevlievo!O14+Bqla!O14+Dunav_Ruse!O14+Silistra!O14+Tutrakan!O14+Seslav!O14+Karakuz!O14+Razgrad!O14+Voden!O14</f>
        <v>7683</v>
      </c>
      <c r="P14" s="163">
        <f>Bujnovci!P14+Elena!P14+Bolqrka!P14+Gorna!P14+Svishtov!P14+Rosica!P14+Gabrovo!P14+Plachkovci!P14+Sevlievo!P14+Bqla!P14+Dunav_Ruse!P14+Silistra!P14+Tutrakan!P14+Seslav!P14+Karakuz!P14+Razgrad!P14+Voden!P14</f>
        <v>779</v>
      </c>
      <c r="Q14" s="163">
        <f>Bujnovci!Q14+Elena!Q14+Bolqrka!Q14+Gorna!Q14+Svishtov!Q14+Rosica!Q14+Gabrovo!Q14+Plachkovci!Q14+Sevlievo!Q14+Bqla!Q14+Dunav_Ruse!Q14+Silistra!Q14+Tutrakan!Q14+Seslav!Q14+Karakuz!Q14+Razgrad!Q14+Voden!Q14</f>
        <v>19738</v>
      </c>
      <c r="R14" s="174" t="s">
        <v>19</v>
      </c>
      <c r="S14" s="165">
        <f>Bujnovci!S14+Elena!S14+Bolqrka!S14+Gorna!S14+Svishtov!S14+Rosica!S14+Gabrovo!S14+Plachkovci!S14+Sevlievo!S14+Bqla!S14+Dunav_Ruse!S14+Silistra!S14+Tutrakan!S14+Seslav!S14+Karakuz!S14+Razgrad!S14+Voden!S14</f>
        <v>155.10000000000002</v>
      </c>
      <c r="T14" s="163">
        <f>Bujnovci!T14+Elena!T14+Bolqrka!T14+Gorna!T14+Svishtov!T14+Rosica!T14+Gabrovo!T14+Plachkovci!T14+Sevlievo!T14+Bqla!T14+Dunav_Ruse!T14+Silistra!T14+Tutrakan!T14+Seslav!T14+Karakuz!T14+Razgrad!T14+Voden!T14</f>
        <v>11101</v>
      </c>
      <c r="U14" s="163">
        <f>Bujnovci!U14+Elena!U14+Bolqrka!U14+Gorna!U14+Svishtov!U14+Rosica!U14+Gabrovo!U14+Plachkovci!U14+Sevlievo!U14+Bqla!U14+Dunav_Ruse!U14+Silistra!U14+Tutrakan!U14+Seslav!U14+Karakuz!U14+Razgrad!U14+Voden!U14</f>
        <v>9120</v>
      </c>
      <c r="V14" s="163">
        <f>Bujnovci!V14+Elena!V14+Bolqrka!V14+Gorna!V14+Svishtov!V14+Rosica!V14+Gabrovo!V14+Plachkovci!V14+Sevlievo!V14+Bqla!V14+Dunav_Ruse!V14+Silistra!V14+Tutrakan!V14+Seslav!V14+Karakuz!V14+Razgrad!V14+Voden!V14</f>
        <v>3411</v>
      </c>
      <c r="W14" s="163">
        <f>Bujnovci!W14+Elena!W14+Bolqrka!W14+Gorna!W14+Svishtov!W14+Rosica!W14+Gabrovo!W14+Plachkovci!W14+Sevlievo!W14+Bqla!W14+Dunav_Ruse!W14+Silistra!W14+Tutrakan!W14+Seslav!W14+Karakuz!W14+Razgrad!W14+Voden!W14</f>
        <v>2100</v>
      </c>
      <c r="X14" s="163">
        <f>Bujnovci!X14+Elena!X14+Bolqrka!X14+Gorna!X14+Svishtov!X14+Rosica!X14+Gabrovo!X14+Plachkovci!X14+Sevlievo!X14+Bqla!X14+Dunav_Ruse!X14+Silistra!X14+Tutrakan!X14+Seslav!X14+Karakuz!X14+Razgrad!X14+Voden!X14</f>
        <v>183</v>
      </c>
      <c r="Y14" s="163">
        <f>Bujnovci!Y14+Elena!Y14+Bolqrka!Y14+Gorna!Y14+Svishtov!Y14+Rosica!Y14+Gabrovo!Y14+Plachkovci!Y14+Sevlievo!Y14+Bqla!Y14+Dunav_Ruse!Y14+Silistra!Y14+Tutrakan!Y14+Seslav!Y14+Karakuz!Y14+Razgrad!Y14+Voden!Y14</f>
        <v>3426</v>
      </c>
      <c r="Z14" s="164"/>
      <c r="AA14" s="174" t="s">
        <v>19</v>
      </c>
      <c r="AB14" s="165">
        <f>Bujnovci!AB14+Elena!AB14+Bolqrka!AB14+Gorna!AB14+Svishtov!AB14+Rosica!AB14+Gabrovo!AB14+Plachkovci!AB14+Sevlievo!AB14+Bqla!AB14+Dunav_Ruse!AB14+Silistra!AB14+Tutrakan!AB14+Seslav!AB14+Karakuz!AB14+Razgrad!AB14+Voden!AB14</f>
        <v>152.60000000000002</v>
      </c>
      <c r="AC14" s="163">
        <f>Bujnovci!AC14+Elena!AC14+Bolqrka!AC14+Gorna!AC14+Svishtov!AC14+Rosica!AC14+Gabrovo!AC14+Plachkovci!AC14+Sevlievo!AC14+Bqla!AC14+Dunav_Ruse!AC14+Silistra!AC14+Tutrakan!AC14+Seslav!AC14+Karakuz!AC14+Razgrad!AC14+Voden!AC14</f>
        <v>11016</v>
      </c>
      <c r="AD14" s="163">
        <f>Bujnovci!AD14+Elena!AD14+Bolqrka!AD14+Gorna!AD14+Svishtov!AD14+Rosica!AD14+Gabrovo!AD14+Plachkovci!AD14+Sevlievo!AD14+Bqla!AD14+Dunav_Ruse!AD14+Silistra!AD14+Tutrakan!AD14+Seslav!AD14+Karakuz!AD14+Razgrad!AD14+Voden!AD14</f>
        <v>9051</v>
      </c>
      <c r="AE14" s="163">
        <f>Bujnovci!AE14+Elena!AE14+Bolqrka!AE14+Gorna!AE14+Svishtov!AE14+Rosica!AE14+Gabrovo!AE14+Plachkovci!AE14+Sevlievo!AE14+Bqla!AE14+Dunav_Ruse!AE14+Silistra!AE14+Tutrakan!AE14+Seslav!AE14+Karakuz!AE14+Razgrad!AE14+Voden!AE14</f>
        <v>3390</v>
      </c>
      <c r="AF14" s="163">
        <f>Bujnovci!AF14+Elena!AF14+Bolqrka!AF14+Gorna!AF14+Svishtov!AF14+Rosica!AF14+Gabrovo!AF14+Plachkovci!AF14+Sevlievo!AF14+Bqla!AF14+Dunav_Ruse!AF14+Silistra!AF14+Tutrakan!AF14+Seslav!AF14+Karakuz!AF14+Razgrad!AF14+Voden!AF14</f>
        <v>2085</v>
      </c>
      <c r="AG14" s="163">
        <f>Bujnovci!AG14+Elena!AG14+Bolqrka!AG14+Gorna!AG14+Svishtov!AG14+Rosica!AG14+Gabrovo!AG14+Plachkovci!AG14+Sevlievo!AG14+Bqla!AG14+Dunav_Ruse!AG14+Silistra!AG14+Tutrakan!AG14+Seslav!AG14+Karakuz!AG14+Razgrad!AG14+Voden!AG14</f>
        <v>183</v>
      </c>
      <c r="AH14" s="163">
        <f>Bujnovci!AH14+Elena!AH14+Bolqrka!AH14+Gorna!AH14+Svishtov!AH14+Rosica!AH14+Gabrovo!AH14+Plachkovci!AH14+Sevlievo!AH14+Bqla!AH14+Dunav_Ruse!AH14+Silistra!AH14+Tutrakan!AH14+Seslav!AH14+Karakuz!AH14+Razgrad!AH14+Voden!AH14</f>
        <v>3393</v>
      </c>
      <c r="AI14" s="168"/>
      <c r="AJ14" s="163" t="s">
        <v>19</v>
      </c>
      <c r="AK14" s="165">
        <f>Bujnovci!AK14+Elena!AK14+Bolqrka!AK14+Gorna!AK14+Svishtov!AK14+Rosica!AK14+Gabrovo!AK14+Plachkovci!AK14+Sevlievo!AK14+Bqla!AK14+Dunav_Ruse!AK14+Silistra!AK14+Tutrakan!AK14+Seslav!AK14+Karakuz!AK14+Razgrad!AK14+Voden!AK14</f>
        <v>85.4</v>
      </c>
      <c r="AL14" s="163">
        <f>Bujnovci!AL14+Elena!AL14+Bolqrka!AL14+Gorna!AL14+Svishtov!AL14+Rosica!AL14+Gabrovo!AL14+Plachkovci!AL14+Sevlievo!AL14+Bqla!AL14+Dunav_Ruse!AL14+Silistra!AL14+Tutrakan!AL14+Seslav!AL14+Karakuz!AL14+Razgrad!AL14+Voden!AL14</f>
        <v>5487</v>
      </c>
      <c r="AM14" s="163">
        <f>Bujnovci!AM14+Elena!AM14+Bolqrka!AM14+Gorna!AM14+Svishtov!AM14+Rosica!AM14+Gabrovo!AM14+Plachkovci!AM14+Sevlievo!AM14+Bqla!AM14+Dunav_Ruse!AM14+Silistra!AM14+Tutrakan!AM14+Seslav!AM14+Karakuz!AM14+Razgrad!AM14+Voden!AM14</f>
        <v>4763</v>
      </c>
      <c r="AN14" s="163">
        <f>Bujnovci!AN14+Elena!AN14+Bolqrka!AN14+Gorna!AN14+Svishtov!AN14+Rosica!AN14+Gabrovo!AN14+Plachkovci!AN14+Sevlievo!AN14+Bqla!AN14+Dunav_Ruse!AN14+Silistra!AN14+Tutrakan!AN14+Seslav!AN14+Karakuz!AN14+Razgrad!AN14+Voden!AN14</f>
        <v>440</v>
      </c>
      <c r="AO14" s="163">
        <f>Bujnovci!AO14+Elena!AO14+Bolqrka!AO14+Gorna!AO14+Svishtov!AO14+Rosica!AO14+Gabrovo!AO14+Plachkovci!AO14+Sevlievo!AO14+Bqla!AO14+Dunav_Ruse!AO14+Silistra!AO14+Tutrakan!AO14+Seslav!AO14+Karakuz!AO14+Razgrad!AO14+Voden!AO14</f>
        <v>285</v>
      </c>
      <c r="AP14" s="163">
        <f>Bujnovci!AP14+Elena!AP14+Bolqrka!AP14+Gorna!AP14+Svishtov!AP14+Rosica!AP14+Gabrovo!AP14+Plachkovci!AP14+Sevlievo!AP14+Bqla!AP14+Dunav_Ruse!AP14+Silistra!AP14+Tutrakan!AP14+Seslav!AP14+Karakuz!AP14+Razgrad!AP14+Voden!AP14</f>
        <v>14</v>
      </c>
      <c r="AQ14" s="163">
        <f>Bujnovci!AQ14+Elena!AQ14+Bolqrka!AQ14+Gorna!AQ14+Svishtov!AQ14+Rosica!AQ14+Gabrovo!AQ14+Plachkovci!AQ14+Sevlievo!AQ14+Bqla!AQ14+Dunav_Ruse!AQ14+Silistra!AQ14+Tutrakan!AQ14+Seslav!AQ14+Karakuz!AQ14+Razgrad!AQ14+Voden!AQ14</f>
        <v>4024</v>
      </c>
      <c r="AR14" s="164"/>
      <c r="AS14" s="164"/>
      <c r="AX14" s="175"/>
    </row>
    <row r="15" spans="1:50" ht="12">
      <c r="A15" s="172" t="s">
        <v>20</v>
      </c>
      <c r="B15" s="163">
        <f t="shared" ref="B15:H15" si="5">B14/B13*100</f>
        <v>95.584752071309097</v>
      </c>
      <c r="C15" s="163">
        <f t="shared" si="5"/>
        <v>89.814340364300008</v>
      </c>
      <c r="D15" s="163">
        <f t="shared" si="5"/>
        <v>102.73567893181905</v>
      </c>
      <c r="E15" s="163">
        <f t="shared" si="5"/>
        <v>147.44947064485081</v>
      </c>
      <c r="F15" s="163">
        <f t="shared" si="5"/>
        <v>51.510577882377021</v>
      </c>
      <c r="G15" s="163">
        <f t="shared" si="5"/>
        <v>14.045186357749317</v>
      </c>
      <c r="H15" s="163">
        <f t="shared" si="5"/>
        <v>180.05298013245033</v>
      </c>
      <c r="I15" s="164"/>
      <c r="J15" s="172" t="s">
        <v>20</v>
      </c>
      <c r="K15" s="163">
        <f t="shared" ref="K15:Q15" si="6">K14/K13*100</f>
        <v>105.3891878186889</v>
      </c>
      <c r="L15" s="163">
        <f t="shared" si="6"/>
        <v>111.71908152199539</v>
      </c>
      <c r="M15" s="163">
        <f t="shared" si="6"/>
        <v>127.38921001926782</v>
      </c>
      <c r="N15" s="163">
        <f t="shared" si="6"/>
        <v>200.52452137424601</v>
      </c>
      <c r="O15" s="163">
        <f t="shared" si="6"/>
        <v>55.927206551410372</v>
      </c>
      <c r="P15" s="163">
        <f t="shared" si="6"/>
        <v>17.478124298855732</v>
      </c>
      <c r="Q15" s="163">
        <f t="shared" si="6"/>
        <v>278.09792180345192</v>
      </c>
      <c r="R15" s="172" t="s">
        <v>20</v>
      </c>
      <c r="S15" s="163">
        <f t="shared" ref="S15:Y15" si="7">S14/S13*100</f>
        <v>87.760991342726186</v>
      </c>
      <c r="T15" s="163">
        <f t="shared" si="7"/>
        <v>80.299468335201993</v>
      </c>
      <c r="U15" s="163">
        <f t="shared" si="7"/>
        <v>83.158566608917667</v>
      </c>
      <c r="V15" s="163">
        <f t="shared" si="7"/>
        <v>86.103748580083305</v>
      </c>
      <c r="W15" s="163">
        <f t="shared" si="7"/>
        <v>69.790628115653035</v>
      </c>
      <c r="X15" s="163">
        <f t="shared" si="7"/>
        <v>22.932330827067666</v>
      </c>
      <c r="Y15" s="163">
        <f t="shared" si="7"/>
        <v>107.54983519070788</v>
      </c>
      <c r="Z15" s="164"/>
      <c r="AA15" s="172" t="s">
        <v>20</v>
      </c>
      <c r="AB15" s="163">
        <f t="shared" ref="AB15:AH15" si="8">AB14/AB13*100</f>
        <v>87.359743531028172</v>
      </c>
      <c r="AC15" s="163">
        <f t="shared" si="8"/>
        <v>81.642333061587493</v>
      </c>
      <c r="AD15" s="163">
        <f t="shared" si="8"/>
        <v>84.52558834516249</v>
      </c>
      <c r="AE15" s="163">
        <f t="shared" si="8"/>
        <v>89.245754903251282</v>
      </c>
      <c r="AF15" s="163">
        <f t="shared" si="8"/>
        <v>69.028306571759643</v>
      </c>
      <c r="AG15" s="163">
        <f t="shared" si="8"/>
        <v>24.367509986684421</v>
      </c>
      <c r="AH15" s="163">
        <f t="shared" si="8"/>
        <v>108.55863061910094</v>
      </c>
      <c r="AI15" s="171"/>
      <c r="AJ15" s="202" t="s">
        <v>20</v>
      </c>
      <c r="AK15" s="163">
        <f t="shared" ref="AK15:AQ15" si="9">AK14/AK13*100</f>
        <v>57.81990521327014</v>
      </c>
      <c r="AL15" s="163">
        <f t="shared" si="9"/>
        <v>36.604402935290196</v>
      </c>
      <c r="AM15" s="163">
        <f t="shared" si="9"/>
        <v>47.539674618225369</v>
      </c>
      <c r="AN15" s="163">
        <f t="shared" si="9"/>
        <v>62.05923836389281</v>
      </c>
      <c r="AO15" s="163">
        <f t="shared" si="9"/>
        <v>10.182207931404074</v>
      </c>
      <c r="AP15" s="163">
        <f t="shared" si="9"/>
        <v>0.82644628099173556</v>
      </c>
      <c r="AQ15" s="163">
        <f t="shared" si="9"/>
        <v>83.537471455262619</v>
      </c>
      <c r="AR15" s="164"/>
      <c r="AS15" s="164"/>
    </row>
    <row r="16" spans="1:50" ht="12">
      <c r="A16" s="162" t="s">
        <v>13</v>
      </c>
      <c r="B16" s="165">
        <f>Bujnovci!B16+Elena!B16+Bolqrka!B16+Gorna!B16+Svishtov!B16+Rosica!B16+Gabrovo!B16+Plachkovci!B16+Sevlievo!B16+Bqla!B16+Dunav_Ruse!B16+Silistra!B16+Tutrakan!B16+Seslav!B16+Karakuz!B16+Razgrad!B16+Voden!B16</f>
        <v>431.64999999999992</v>
      </c>
      <c r="C16" s="163">
        <f>Bujnovci!C16+Elena!C16+Bolqrka!C16+Gorna!C16+Svishtov!C16+Rosica!C16+Gabrovo!C16+Plachkovci!C16+Sevlievo!C16+Bqla!C16+Dunav_Ruse!C16+Silistra!C16+Tutrakan!C16+Seslav!C16+Karakuz!C16+Razgrad!C16+Voden!C16</f>
        <v>23861</v>
      </c>
      <c r="D16" s="163">
        <f>Bujnovci!D16+Elena!D16+Bolqrka!D16+Gorna!D16+Svishtov!D16+Rosica!D16+Gabrovo!D16+Plachkovci!D16+Sevlievo!D16+Bqla!D16+Dunav_Ruse!D16+Silistra!D16+Tutrakan!D16+Seslav!D16+Karakuz!D16+Razgrad!D16+Voden!D16</f>
        <v>21289</v>
      </c>
      <c r="E16" s="163">
        <f>Bujnovci!E16+Elena!E16+Bolqrka!E16+Gorna!E16+Svishtov!E16+Rosica!E16+Gabrovo!E16+Plachkovci!E16+Sevlievo!E16+Bqla!E16+Dunav_Ruse!E16+Silistra!E16+Tutrakan!E16+Seslav!E16+Karakuz!E16+Razgrad!E16+Voden!E16</f>
        <v>7880</v>
      </c>
      <c r="F16" s="163">
        <f>Bujnovci!F16+Elena!F16+Bolqrka!F16+Gorna!F16+Svishtov!F16+Rosica!F16+Gabrovo!F16+Plachkovci!F16+Sevlievo!F16+Bqla!F16+Dunav_Ruse!F16+Silistra!F16+Tutrakan!F16+Seslav!F16+Karakuz!F16+Razgrad!F16+Voden!F16</f>
        <v>5596</v>
      </c>
      <c r="G16" s="163">
        <f>Bujnovci!G16+Elena!G16+Bolqrka!G16+Gorna!G16+Svishtov!G16+Rosica!G16+Gabrovo!G16+Plachkovci!G16+Sevlievo!G16+Bqla!G16+Dunav_Ruse!G16+Silistra!G16+Tutrakan!G16+Seslav!G16+Karakuz!G16+Razgrad!G16+Voden!G16</f>
        <v>228</v>
      </c>
      <c r="H16" s="163">
        <f>Bujnovci!H16+Elena!H16+Bolqrka!H16+Gorna!H16+Svishtov!H16+Rosica!H16+Gabrovo!H16+Plachkovci!H16+Sevlievo!H16+Bqla!H16+Dunav_Ruse!H16+Silistra!H16+Tutrakan!H16+Seslav!H16+Karakuz!H16+Razgrad!H16+Voden!H16</f>
        <v>7585</v>
      </c>
      <c r="I16" s="164"/>
      <c r="J16" s="162" t="s">
        <v>13</v>
      </c>
      <c r="K16" s="165">
        <f>Bujnovci!K16+Elena!K16+Bolqrka!K16+Gorna!K16+Svishtov!K16+Rosica!K16+Gabrovo!K16+Plachkovci!K16+Sevlievo!K16+Bqla!K16+Dunav_Ruse!K16+Silistra!K16+Tutrakan!K16+Seslav!K16+Karakuz!K16+Razgrad!K16+Voden!K16</f>
        <v>366.04999999999995</v>
      </c>
      <c r="L16" s="163">
        <f>Bujnovci!L16+Elena!L16+Bolqrka!L16+Gorna!L16+Svishtov!L16+Rosica!L16+Gabrovo!L16+Plachkovci!L16+Sevlievo!L16+Bqla!L16+Dunav_Ruse!L16+Silistra!L16+Tutrakan!L16+Seslav!L16+Karakuz!L16+Razgrad!L16+Voden!L16</f>
        <v>19563</v>
      </c>
      <c r="M16" s="163">
        <f>Bujnovci!M16+Elena!M16+Bolqrka!M16+Gorna!M16+Svishtov!M16+Rosica!M16+Gabrovo!M16+Plachkovci!M16+Sevlievo!M16+Bqla!M16+Dunav_Ruse!M16+Silistra!M16+Tutrakan!M16+Seslav!M16+Karakuz!M16+Razgrad!M16+Voden!M16</f>
        <v>17762</v>
      </c>
      <c r="N16" s="163">
        <f>Bujnovci!N16+Elena!N16+Bolqrka!N16+Gorna!N16+Svishtov!N16+Rosica!N16+Gabrovo!N16+Plachkovci!N16+Sevlievo!N16+Bqla!N16+Dunav_Ruse!N16+Silistra!N16+Tutrakan!N16+Seslav!N16+Karakuz!N16+Razgrad!N16+Voden!N16</f>
        <v>6417</v>
      </c>
      <c r="O16" s="163">
        <f>Bujnovci!O16+Elena!O16+Bolqrka!O16+Gorna!O16+Svishtov!O16+Rosica!O16+Gabrovo!O16+Plachkovci!O16+Sevlievo!O16+Bqla!O16+Dunav_Ruse!O16+Silistra!O16+Tutrakan!O16+Seslav!O16+Karakuz!O16+Razgrad!O16+Voden!O16</f>
        <v>5112</v>
      </c>
      <c r="P16" s="163">
        <f>Bujnovci!P16+Elena!P16+Bolqrka!P16+Gorna!P16+Svishtov!P16+Rosica!P16+Gabrovo!P16+Plachkovci!P16+Sevlievo!P16+Bqla!P16+Dunav_Ruse!P16+Silistra!P16+Tutrakan!P16+Seslav!P16+Karakuz!P16+Razgrad!P16+Voden!P16</f>
        <v>210</v>
      </c>
      <c r="Q16" s="163">
        <f>Bujnovci!Q16+Elena!Q16+Bolqrka!Q16+Gorna!Q16+Svishtov!Q16+Rosica!Q16+Gabrovo!Q16+Plachkovci!Q16+Sevlievo!Q16+Bqla!Q16+Dunav_Ruse!Q16+Silistra!Q16+Tutrakan!Q16+Seslav!Q16+Karakuz!Q16+Razgrad!Q16+Voden!Q16</f>
        <v>6023</v>
      </c>
      <c r="R16" s="162" t="s">
        <v>13</v>
      </c>
      <c r="S16" s="165">
        <f>Bujnovci!S16+Elena!S16+Bolqrka!S16+Gorna!S16+Svishtov!S16+Rosica!S16+Gabrovo!S16+Plachkovci!S16+Sevlievo!S16+Bqla!S16+Dunav_Ruse!S16+Silistra!S16+Tutrakan!S16+Seslav!S16+Karakuz!S16+Razgrad!S16+Voden!S16</f>
        <v>42.6</v>
      </c>
      <c r="T16" s="163">
        <f>Bujnovci!T16+Elena!T16+Bolqrka!T16+Gorna!T16+Svishtov!T16+Rosica!T16+Gabrovo!T16+Plachkovci!T16+Sevlievo!T16+Bqla!T16+Dunav_Ruse!T16+Silistra!T16+Tutrakan!T16+Seslav!T16+Karakuz!T16+Razgrad!T16+Voden!T16</f>
        <v>3192</v>
      </c>
      <c r="U16" s="163">
        <f>Bujnovci!U16+Elena!U16+Bolqrka!U16+Gorna!U16+Svishtov!U16+Rosica!U16+Gabrovo!U16+Plachkovci!U16+Sevlievo!U16+Bqla!U16+Dunav_Ruse!U16+Silistra!U16+Tutrakan!U16+Seslav!U16+Karakuz!U16+Razgrad!U16+Voden!U16</f>
        <v>2592</v>
      </c>
      <c r="V16" s="163">
        <f>Bujnovci!V16+Elena!V16+Bolqrka!V16+Gorna!V16+Svishtov!V16+Rosica!V16+Gabrovo!V16+Plachkovci!V16+Sevlievo!V16+Bqla!V16+Dunav_Ruse!V16+Silistra!V16+Tutrakan!V16+Seslav!V16+Karakuz!V16+Razgrad!V16+Voden!V16</f>
        <v>1367</v>
      </c>
      <c r="W16" s="163">
        <f>Bujnovci!W16+Elena!W16+Bolqrka!W16+Gorna!W16+Svishtov!W16+Rosica!W16+Gabrovo!W16+Plachkovci!W16+Sevlievo!W16+Bqla!W16+Dunav_Ruse!W16+Silistra!W16+Tutrakan!W16+Seslav!W16+Karakuz!W16+Razgrad!W16+Voden!W16</f>
        <v>428</v>
      </c>
      <c r="X16" s="163">
        <f>Bujnovci!X16+Elena!X16+Bolqrka!X16+Gorna!X16+Svishtov!X16+Rosica!X16+Gabrovo!X16+Plachkovci!X16+Sevlievo!X16+Bqla!X16+Dunav_Ruse!X16+Silistra!X16+Tutrakan!X16+Seslav!X16+Karakuz!X16+Razgrad!X16+Voden!X16</f>
        <v>18</v>
      </c>
      <c r="Y16" s="163">
        <f>Bujnovci!Y16+Elena!Y16+Bolqrka!Y16+Gorna!Y16+Svishtov!Y16+Rosica!Y16+Gabrovo!Y16+Plachkovci!Y16+Sevlievo!Y16+Bqla!Y16+Dunav_Ruse!Y16+Silistra!Y16+Tutrakan!Y16+Seslav!Y16+Karakuz!Y16+Razgrad!Y16+Voden!Y16</f>
        <v>779</v>
      </c>
      <c r="Z16" s="164"/>
      <c r="AA16" s="162" t="s">
        <v>13</v>
      </c>
      <c r="AB16" s="165">
        <f>Bujnovci!AB16+Elena!AB16+Bolqrka!AB16+Gorna!AB16+Svishtov!AB16+Rosica!AB16+Gabrovo!AB16+Plachkovci!AB16+Sevlievo!AB16+Bqla!AB16+Dunav_Ruse!AB16+Silistra!AB16+Tutrakan!AB16+Seslav!AB16+Karakuz!AB16+Razgrad!AB16+Voden!AB16</f>
        <v>40.800000000000004</v>
      </c>
      <c r="AC16" s="163">
        <f>Bujnovci!AC16+Elena!AC16+Bolqrka!AC16+Gorna!AC16+Svishtov!AC16+Rosica!AC16+Gabrovo!AC16+Plachkovci!AC16+Sevlievo!AC16+Bqla!AC16+Dunav_Ruse!AC16+Silistra!AC16+Tutrakan!AC16+Seslav!AC16+Karakuz!AC16+Razgrad!AC16+Voden!AC16</f>
        <v>3191</v>
      </c>
      <c r="AD16" s="163">
        <f>Bujnovci!AD16+Elena!AD16+Bolqrka!AD16+Gorna!AD16+Svishtov!AD16+Rosica!AD16+Gabrovo!AD16+Plachkovci!AD16+Sevlievo!AD16+Bqla!AD16+Dunav_Ruse!AD16+Silistra!AD16+Tutrakan!AD16+Seslav!AD16+Karakuz!AD16+Razgrad!AD16+Voden!AD16</f>
        <v>2591</v>
      </c>
      <c r="AE16" s="163">
        <f>Bujnovci!AE16+Elena!AE16+Bolqrka!AE16+Gorna!AE16+Svishtov!AE16+Rosica!AE16+Gabrovo!AE16+Plachkovci!AE16+Sevlievo!AE16+Bqla!AE16+Dunav_Ruse!AE16+Silistra!AE16+Tutrakan!AE16+Seslav!AE16+Karakuz!AE16+Razgrad!AE16+Voden!AE16</f>
        <v>1367</v>
      </c>
      <c r="AF16" s="163">
        <f>Bujnovci!AF16+Elena!AF16+Bolqrka!AF16+Gorna!AF16+Svishtov!AF16+Rosica!AF16+Gabrovo!AF16+Plachkovci!AF16+Sevlievo!AF16+Bqla!AF16+Dunav_Ruse!AF16+Silistra!AF16+Tutrakan!AF16+Seslav!AF16+Karakuz!AF16+Razgrad!AF16+Voden!AF16</f>
        <v>428</v>
      </c>
      <c r="AG16" s="163">
        <f>Bujnovci!AG16+Elena!AG16+Bolqrka!AG16+Gorna!AG16+Svishtov!AG16+Rosica!AG16+Gabrovo!AG16+Plachkovci!AG16+Sevlievo!AG16+Bqla!AG16+Dunav_Ruse!AG16+Silistra!AG16+Tutrakan!AG16+Seslav!AG16+Karakuz!AG16+Razgrad!AG16+Voden!AG16</f>
        <v>18</v>
      </c>
      <c r="AH16" s="163">
        <f>Bujnovci!AH16+Elena!AH16+Bolqrka!AH16+Gorna!AH16+Svishtov!AH16+Rosica!AH16+Gabrovo!AH16+Plachkovci!AH16+Sevlievo!AH16+Bqla!AH16+Dunav_Ruse!AH16+Silistra!AH16+Tutrakan!AH16+Seslav!AH16+Karakuz!AH16+Razgrad!AH16+Voden!AH16</f>
        <v>778</v>
      </c>
      <c r="AI16" s="168"/>
      <c r="AJ16" s="163" t="s">
        <v>13</v>
      </c>
      <c r="AK16" s="165">
        <f>Bujnovci!AK16+Elena!AK16+Bolqrka!AK16+Gorna!AK16+Svishtov!AK16+Rosica!AK16+Gabrovo!AK16+Plachkovci!AK16+Sevlievo!AK16+Bqla!AK16+Dunav_Ruse!AK16+Silistra!AK16+Tutrakan!AK16+Seslav!AK16+Karakuz!AK16+Razgrad!AK16+Voden!AK16</f>
        <v>23</v>
      </c>
      <c r="AL16" s="163">
        <f>Bujnovci!AL16+Elena!AL16+Bolqrka!AL16+Gorna!AL16+Svishtov!AL16+Rosica!AL16+Gabrovo!AL16+Plachkovci!AL16+Sevlievo!AL16+Bqla!AL16+Dunav_Ruse!AL16+Silistra!AL16+Tutrakan!AL16+Seslav!AL16+Karakuz!AL16+Razgrad!AL16+Voden!AL16</f>
        <v>1106</v>
      </c>
      <c r="AM16" s="163">
        <f>Bujnovci!AM16+Elena!AM16+Bolqrka!AM16+Gorna!AM16+Svishtov!AM16+Rosica!AM16+Gabrovo!AM16+Plachkovci!AM16+Sevlievo!AM16+Bqla!AM16+Dunav_Ruse!AM16+Silistra!AM16+Tutrakan!AM16+Seslav!AM16+Karakuz!AM16+Razgrad!AM16+Voden!AM16</f>
        <v>937</v>
      </c>
      <c r="AN16" s="163">
        <f>Bujnovci!AN16+Elena!AN16+Bolqrka!AN16+Gorna!AN16+Svishtov!AN16+Rosica!AN16+Gabrovo!AN16+Plachkovci!AN16+Sevlievo!AN16+Bqla!AN16+Dunav_Ruse!AN16+Silistra!AN16+Tutrakan!AN16+Seslav!AN16+Karakuz!AN16+Razgrad!AN16+Voden!AN16</f>
        <v>96</v>
      </c>
      <c r="AO16" s="163">
        <f>Bujnovci!AO16+Elena!AO16+Bolqrka!AO16+Gorna!AO16+Svishtov!AO16+Rosica!AO16+Gabrovo!AO16+Plachkovci!AO16+Sevlievo!AO16+Bqla!AO16+Dunav_Ruse!AO16+Silistra!AO16+Tutrakan!AO16+Seslav!AO16+Karakuz!AO16+Razgrad!AO16+Voden!AO16</f>
        <v>56</v>
      </c>
      <c r="AP16" s="163">
        <f>Bujnovci!AP16+Elena!AP16+Bolqrka!AP16+Gorna!AP16+Svishtov!AP16+Rosica!AP16+Gabrovo!AP16+Plachkovci!AP16+Sevlievo!AP16+Bqla!AP16+Dunav_Ruse!AP16+Silistra!AP16+Tutrakan!AP16+Seslav!AP16+Karakuz!AP16+Razgrad!AP16+Voden!AP16</f>
        <v>0</v>
      </c>
      <c r="AQ16" s="163">
        <f>Bujnovci!AQ16+Elena!AQ16+Bolqrka!AQ16+Gorna!AQ16+Svishtov!AQ16+Rosica!AQ16+Gabrovo!AQ16+Plachkovci!AQ16+Sevlievo!AQ16+Bqla!AQ16+Dunav_Ruse!AQ16+Silistra!AQ16+Tutrakan!AQ16+Seslav!AQ16+Karakuz!AQ16+Razgrad!AQ16+Voden!AQ16</f>
        <v>783</v>
      </c>
      <c r="AR16" s="164"/>
      <c r="AS16" s="164"/>
    </row>
    <row r="17" spans="1:45" ht="12">
      <c r="A17" s="162" t="s">
        <v>14</v>
      </c>
      <c r="B17" s="165">
        <f>Bujnovci!B17+Elena!B17+Bolqrka!B17+Gorna!B17+Svishtov!B17+Rosica!B17+Gabrovo!B17+Plachkovci!B17+Sevlievo!B17+Bqla!B17+Dunav_Ruse!B17+Silistra!B17+Tutrakan!B17+Seslav!B17+Karakuz!B17+Razgrad!B17+Voden!B17</f>
        <v>35.4</v>
      </c>
      <c r="C17" s="163">
        <f>Bujnovci!C17+Elena!C17+Bolqrka!C17+Gorna!C17+Svishtov!C17+Rosica!C17+Gabrovo!C17+Plachkovci!C17+Sevlievo!C17+Bqla!C17+Dunav_Ruse!C17+Silistra!C17+Tutrakan!C17+Seslav!C17+Karakuz!C17+Razgrad!C17+Voden!C17</f>
        <v>4104</v>
      </c>
      <c r="D17" s="163">
        <f>Bujnovci!D17+Elena!D17+Bolqrka!D17+Gorna!D17+Svishtov!D17+Rosica!D17+Gabrovo!D17+Plachkovci!D17+Sevlievo!D17+Bqla!D17+Dunav_Ruse!D17+Silistra!D17+Tutrakan!D17+Seslav!D17+Karakuz!D17+Razgrad!D17+Voden!D17</f>
        <v>3417</v>
      </c>
      <c r="E17" s="163">
        <f>Bujnovci!E17+Elena!E17+Bolqrka!E17+Gorna!E17+Svishtov!E17+Rosica!E17+Gabrovo!E17+Plachkovci!E17+Sevlievo!E17+Bqla!E17+Dunav_Ruse!E17+Silistra!E17+Tutrakan!E17+Seslav!E17+Karakuz!E17+Razgrad!E17+Voden!E17</f>
        <v>988</v>
      </c>
      <c r="F17" s="163">
        <f>Bujnovci!F17+Elena!F17+Bolqrka!F17+Gorna!F17+Svishtov!F17+Rosica!F17+Gabrovo!F17+Plachkovci!F17+Sevlievo!F17+Bqla!F17+Dunav_Ruse!F17+Silistra!F17+Tutrakan!F17+Seslav!F17+Karakuz!F17+Razgrad!F17+Voden!F17</f>
        <v>664</v>
      </c>
      <c r="G17" s="163">
        <f>Bujnovci!G17+Elena!G17+Bolqrka!G17+Gorna!G17+Svishtov!G17+Rosica!G17+Gabrovo!G17+Plachkovci!G17+Sevlievo!G17+Bqla!G17+Dunav_Ruse!G17+Silistra!G17+Tutrakan!G17+Seslav!G17+Karakuz!G17+Razgrad!G17+Voden!G17</f>
        <v>101</v>
      </c>
      <c r="H17" s="163">
        <f>Bujnovci!H17+Elena!H17+Bolqrka!H17+Gorna!H17+Svishtov!H17+Rosica!H17+Gabrovo!H17+Plachkovci!H17+Sevlievo!H17+Bqla!H17+Dunav_Ruse!H17+Silistra!H17+Tutrakan!H17+Seslav!H17+Karakuz!H17+Razgrad!H17+Voden!H17</f>
        <v>1664</v>
      </c>
      <c r="I17" s="164"/>
      <c r="J17" s="162" t="s">
        <v>14</v>
      </c>
      <c r="K17" s="165">
        <f>Bujnovci!K17+Elena!K17+Bolqrka!K17+Gorna!K17+Svishtov!K17+Rosica!K17+Gabrovo!K17+Plachkovci!K17+Sevlievo!K17+Bqla!K17+Dunav_Ruse!K17+Silistra!K17+Tutrakan!K17+Seslav!K17+Karakuz!K17+Razgrad!K17+Voden!K17</f>
        <v>30</v>
      </c>
      <c r="L17" s="163">
        <f>Bujnovci!L17+Elena!L17+Bolqrka!L17+Gorna!L17+Svishtov!L17+Rosica!L17+Gabrovo!L17+Plachkovci!L17+Sevlievo!L17+Bqla!L17+Dunav_Ruse!L17+Silistra!L17+Tutrakan!L17+Seslav!L17+Karakuz!L17+Razgrad!L17+Voden!L17</f>
        <v>3588</v>
      </c>
      <c r="M17" s="163">
        <f>Bujnovci!M17+Elena!M17+Bolqrka!M17+Gorna!M17+Svishtov!M17+Rosica!M17+Gabrovo!M17+Plachkovci!M17+Sevlievo!M17+Bqla!M17+Dunav_Ruse!M17+Silistra!M17+Tutrakan!M17+Seslav!M17+Karakuz!M17+Razgrad!M17+Voden!M17</f>
        <v>2978</v>
      </c>
      <c r="N17" s="163">
        <f>Bujnovci!N17+Elena!N17+Bolqrka!N17+Gorna!N17+Svishtov!N17+Rosica!N17+Gabrovo!N17+Plachkovci!N17+Sevlievo!N17+Bqla!N17+Dunav_Ruse!N17+Silistra!N17+Tutrakan!N17+Seslav!N17+Karakuz!N17+Razgrad!N17+Voden!N17</f>
        <v>822</v>
      </c>
      <c r="O17" s="163">
        <f>Bujnovci!O17+Elena!O17+Bolqrka!O17+Gorna!O17+Svishtov!O17+Rosica!O17+Gabrovo!O17+Plachkovci!O17+Sevlievo!O17+Bqla!O17+Dunav_Ruse!O17+Silistra!O17+Tutrakan!O17+Seslav!O17+Karakuz!O17+Razgrad!O17+Voden!O17</f>
        <v>603</v>
      </c>
      <c r="P17" s="163">
        <f>Bujnovci!P17+Elena!P17+Bolqrka!P17+Gorna!P17+Svishtov!P17+Rosica!P17+Gabrovo!P17+Plachkovci!P17+Sevlievo!P17+Bqla!P17+Dunav_Ruse!P17+Silistra!P17+Tutrakan!P17+Seslav!P17+Karakuz!P17+Razgrad!P17+Voden!P17</f>
        <v>86</v>
      </c>
      <c r="Q17" s="163">
        <f>Bujnovci!Q17+Elena!Q17+Bolqrka!Q17+Gorna!Q17+Svishtov!Q17+Rosica!Q17+Gabrovo!Q17+Plachkovci!Q17+Sevlievo!Q17+Bqla!Q17+Dunav_Ruse!Q17+Silistra!Q17+Tutrakan!Q17+Seslav!Q17+Karakuz!Q17+Razgrad!Q17+Voden!Q17</f>
        <v>1467</v>
      </c>
      <c r="R17" s="162" t="s">
        <v>14</v>
      </c>
      <c r="S17" s="165">
        <f>Bujnovci!S17+Elena!S17+Bolqrka!S17+Gorna!S17+Svishtov!S17+Rosica!S17+Gabrovo!S17+Plachkovci!S17+Sevlievo!S17+Bqla!S17+Dunav_Ruse!S17+Silistra!S17+Tutrakan!S17+Seslav!S17+Karakuz!S17+Razgrad!S17+Voden!S17</f>
        <v>0.7</v>
      </c>
      <c r="T17" s="163">
        <f>Bujnovci!T17+Elena!T17+Bolqrka!T17+Gorna!T17+Svishtov!T17+Rosica!T17+Gabrovo!T17+Plachkovci!T17+Sevlievo!T17+Bqla!T17+Dunav_Ruse!T17+Silistra!T17+Tutrakan!T17+Seslav!T17+Karakuz!T17+Razgrad!T17+Voden!T17</f>
        <v>48</v>
      </c>
      <c r="U17" s="163">
        <f>Bujnovci!U17+Elena!U17+Bolqrka!U17+Gorna!U17+Svishtov!U17+Rosica!U17+Gabrovo!U17+Plachkovci!U17+Sevlievo!U17+Bqla!U17+Dunav_Ruse!U17+Silistra!U17+Tutrakan!U17+Seslav!U17+Karakuz!U17+Razgrad!U17+Voden!U17</f>
        <v>44</v>
      </c>
      <c r="V17" s="163">
        <f>Bujnovci!V17+Elena!V17+Bolqrka!V17+Gorna!V17+Svishtov!V17+Rosica!V17+Gabrovo!V17+Plachkovci!V17+Sevlievo!V17+Bqla!V17+Dunav_Ruse!V17+Silistra!V17+Tutrakan!V17+Seslav!V17+Karakuz!V17+Razgrad!V17+Voden!V17</f>
        <v>14</v>
      </c>
      <c r="W17" s="163">
        <f>Bujnovci!W17+Elena!W17+Bolqrka!W17+Gorna!W17+Svishtov!W17+Rosica!W17+Gabrovo!W17+Plachkovci!W17+Sevlievo!W17+Bqla!W17+Dunav_Ruse!W17+Silistra!W17+Tutrakan!W17+Seslav!W17+Karakuz!W17+Razgrad!W17+Voden!W17</f>
        <v>1</v>
      </c>
      <c r="X17" s="163">
        <f>Bujnovci!X17+Elena!X17+Bolqrka!X17+Gorna!X17+Svishtov!X17+Rosica!X17+Gabrovo!X17+Plachkovci!X17+Sevlievo!X17+Bqla!X17+Dunav_Ruse!X17+Silistra!X17+Tutrakan!X17+Seslav!X17+Karakuz!X17+Razgrad!X17+Voden!X17</f>
        <v>1</v>
      </c>
      <c r="Y17" s="163">
        <f>Bujnovci!Y17+Elena!Y17+Bolqrka!Y17+Gorna!Y17+Svishtov!Y17+Rosica!Y17+Gabrovo!Y17+Plachkovci!Y17+Sevlievo!Y17+Bqla!Y17+Dunav_Ruse!Y17+Silistra!Y17+Tutrakan!Y17+Seslav!Y17+Karakuz!Y17+Razgrad!Y17+Voden!Y17</f>
        <v>28</v>
      </c>
      <c r="Z17" s="164"/>
      <c r="AA17" s="162" t="s">
        <v>14</v>
      </c>
      <c r="AB17" s="165">
        <f>Bujnovci!AB17+Elena!AB17+Bolqrka!AB17+Gorna!AB17+Svishtov!AB17+Rosica!AB17+Gabrovo!AB17+Plachkovci!AB17+Sevlievo!AB17+Bqla!AB17+Dunav_Ruse!AB17+Silistra!AB17+Tutrakan!AB17+Seslav!AB17+Karakuz!AB17+Razgrad!AB17+Voden!AB17</f>
        <v>0.7</v>
      </c>
      <c r="AC17" s="163">
        <f>Bujnovci!AC17+Elena!AC17+Bolqrka!AC17+Gorna!AC17+Svishtov!AC17+Rosica!AC17+Gabrovo!AC17+Plachkovci!AC17+Sevlievo!AC17+Bqla!AC17+Dunav_Ruse!AC17+Silistra!AC17+Tutrakan!AC17+Seslav!AC17+Karakuz!AC17+Razgrad!AC17+Voden!AC17</f>
        <v>48</v>
      </c>
      <c r="AD17" s="163">
        <f>Bujnovci!AD17+Elena!AD17+Bolqrka!AD17+Gorna!AD17+Svishtov!AD17+Rosica!AD17+Gabrovo!AD17+Plachkovci!AD17+Sevlievo!AD17+Bqla!AD17+Dunav_Ruse!AD17+Silistra!AD17+Tutrakan!AD17+Seslav!AD17+Karakuz!AD17+Razgrad!AD17+Voden!AD17</f>
        <v>44</v>
      </c>
      <c r="AE17" s="163">
        <f>Bujnovci!AE17+Elena!AE17+Bolqrka!AE17+Gorna!AE17+Svishtov!AE17+Rosica!AE17+Gabrovo!AE17+Plachkovci!AE17+Sevlievo!AE17+Bqla!AE17+Dunav_Ruse!AE17+Silistra!AE17+Tutrakan!AE17+Seslav!AE17+Karakuz!AE17+Razgrad!AE17+Voden!AE17</f>
        <v>14</v>
      </c>
      <c r="AF17" s="163">
        <f>Bujnovci!AF17+Elena!AF17+Bolqrka!AF17+Gorna!AF17+Svishtov!AF17+Rosica!AF17+Gabrovo!AF17+Plachkovci!AF17+Sevlievo!AF17+Bqla!AF17+Dunav_Ruse!AF17+Silistra!AF17+Tutrakan!AF17+Seslav!AF17+Karakuz!AF17+Razgrad!AF17+Voden!AF17</f>
        <v>1</v>
      </c>
      <c r="AG17" s="163">
        <f>Bujnovci!AG17+Elena!AG17+Bolqrka!AG17+Gorna!AG17+Svishtov!AG17+Rosica!AG17+Gabrovo!AG17+Plachkovci!AG17+Sevlievo!AG17+Bqla!AG17+Dunav_Ruse!AG17+Silistra!AG17+Tutrakan!AG17+Seslav!AG17+Karakuz!AG17+Razgrad!AG17+Voden!AG17</f>
        <v>1</v>
      </c>
      <c r="AH17" s="163">
        <f>Bujnovci!AH17+Elena!AH17+Bolqrka!AH17+Gorna!AH17+Svishtov!AH17+Rosica!AH17+Gabrovo!AH17+Plachkovci!AH17+Sevlievo!AH17+Bqla!AH17+Dunav_Ruse!AH17+Silistra!AH17+Tutrakan!AH17+Seslav!AH17+Karakuz!AH17+Razgrad!AH17+Voden!AH17</f>
        <v>28</v>
      </c>
      <c r="AI17" s="168"/>
      <c r="AJ17" s="163" t="s">
        <v>14</v>
      </c>
      <c r="AK17" s="165">
        <f>Bujnovci!AK17+Elena!AK17+Bolqrka!AK17+Gorna!AK17+Svishtov!AK17+Rosica!AK17+Gabrovo!AK17+Plachkovci!AK17+Sevlievo!AK17+Bqla!AK17+Dunav_Ruse!AK17+Silistra!AK17+Tutrakan!AK17+Seslav!AK17+Karakuz!AK17+Razgrad!AK17+Voden!AK17</f>
        <v>4.7</v>
      </c>
      <c r="AL17" s="163">
        <f>Bujnovci!AL17+Elena!AL17+Bolqrka!AL17+Gorna!AL17+Svishtov!AL17+Rosica!AL17+Gabrovo!AL17+Plachkovci!AL17+Sevlievo!AL17+Bqla!AL17+Dunav_Ruse!AL17+Silistra!AL17+Tutrakan!AL17+Seslav!AL17+Karakuz!AL17+Razgrad!AL17+Voden!AL17</f>
        <v>468</v>
      </c>
      <c r="AM17" s="163">
        <f>Bujnovci!AM17+Elena!AM17+Bolqrka!AM17+Gorna!AM17+Svishtov!AM17+Rosica!AM17+Gabrovo!AM17+Plachkovci!AM17+Sevlievo!AM17+Bqla!AM17+Dunav_Ruse!AM17+Silistra!AM17+Tutrakan!AM17+Seslav!AM17+Karakuz!AM17+Razgrad!AM17+Voden!AM17</f>
        <v>395</v>
      </c>
      <c r="AN17" s="163">
        <f>Bujnovci!AN17+Elena!AN17+Bolqrka!AN17+Gorna!AN17+Svishtov!AN17+Rosica!AN17+Gabrovo!AN17+Plachkovci!AN17+Sevlievo!AN17+Bqla!AN17+Dunav_Ruse!AN17+Silistra!AN17+Tutrakan!AN17+Seslav!AN17+Karakuz!AN17+Razgrad!AN17+Voden!AN17</f>
        <v>152</v>
      </c>
      <c r="AO17" s="163">
        <f>Bujnovci!AO17+Elena!AO17+Bolqrka!AO17+Gorna!AO17+Svishtov!AO17+Rosica!AO17+Gabrovo!AO17+Plachkovci!AO17+Sevlievo!AO17+Bqla!AO17+Dunav_Ruse!AO17+Silistra!AO17+Tutrakan!AO17+Seslav!AO17+Karakuz!AO17+Razgrad!AO17+Voden!AO17</f>
        <v>60</v>
      </c>
      <c r="AP17" s="163">
        <f>Bujnovci!AP17+Elena!AP17+Bolqrka!AP17+Gorna!AP17+Svishtov!AP17+Rosica!AP17+Gabrovo!AP17+Plachkovci!AP17+Sevlievo!AP17+Bqla!AP17+Dunav_Ruse!AP17+Silistra!AP17+Tutrakan!AP17+Seslav!AP17+Karakuz!AP17+Razgrad!AP17+Voden!AP17</f>
        <v>14</v>
      </c>
      <c r="AQ17" s="163">
        <f>Bujnovci!AQ17+Elena!AQ17+Bolqrka!AQ17+Gorna!AQ17+Svishtov!AQ17+Rosica!AQ17+Gabrovo!AQ17+Plachkovci!AQ17+Sevlievo!AQ17+Bqla!AQ17+Dunav_Ruse!AQ17+Silistra!AQ17+Tutrakan!AQ17+Seslav!AQ17+Karakuz!AQ17+Razgrad!AQ17+Voden!AQ17</f>
        <v>169</v>
      </c>
      <c r="AR17" s="164"/>
      <c r="AS17" s="164"/>
    </row>
    <row r="18" spans="1:45" ht="12">
      <c r="A18" s="162" t="s">
        <v>15</v>
      </c>
      <c r="B18" s="165">
        <f>Bujnovci!B18+Elena!B18+Bolqrka!B18+Gorna!B18+Svishtov!B18+Rosica!B18+Gabrovo!B18+Plachkovci!B18+Sevlievo!B18+Bqla!B18+Dunav_Ruse!B18+Silistra!B18+Tutrakan!B18+Seslav!B18+Karakuz!B18+Razgrad!B18+Voden!B18</f>
        <v>14.799999999999999</v>
      </c>
      <c r="C18" s="163">
        <f>Bujnovci!C18+Elena!C18+Bolqrka!C18+Gorna!C18+Svishtov!C18+Rosica!C18+Gabrovo!C18+Plachkovci!C18+Sevlievo!C18+Bqla!C18+Dunav_Ruse!C18+Silistra!C18+Tutrakan!C18+Seslav!C18+Karakuz!C18+Razgrad!C18+Voden!C18</f>
        <v>1232</v>
      </c>
      <c r="D18" s="163">
        <f>Bujnovci!D18+Elena!D18+Bolqrka!D18+Gorna!D18+Svishtov!D18+Rosica!D18+Gabrovo!D18+Plachkovci!D18+Sevlievo!D18+Bqla!D18+Dunav_Ruse!D18+Silistra!D18+Tutrakan!D18+Seslav!D18+Karakuz!D18+Razgrad!D18+Voden!D18</f>
        <v>1048</v>
      </c>
      <c r="E18" s="163">
        <f>Bujnovci!E18+Elena!E18+Bolqrka!E18+Gorna!E18+Svishtov!E18+Rosica!E18+Gabrovo!E18+Plachkovci!E18+Sevlievo!E18+Bqla!E18+Dunav_Ruse!E18+Silistra!E18+Tutrakan!E18+Seslav!E18+Karakuz!E18+Razgrad!E18+Voden!E18</f>
        <v>717</v>
      </c>
      <c r="F18" s="163">
        <f>Bujnovci!F18+Elena!F18+Bolqrka!F18+Gorna!F18+Svishtov!F18+Rosica!F18+Gabrovo!F18+Plachkovci!F18+Sevlievo!F18+Bqla!F18+Dunav_Ruse!F18+Silistra!F18+Tutrakan!F18+Seslav!F18+Karakuz!F18+Razgrad!F18+Voden!F18</f>
        <v>142</v>
      </c>
      <c r="G18" s="163">
        <f>Bujnovci!G18+Elena!G18+Bolqrka!G18+Gorna!G18+Svishtov!G18+Rosica!G18+Gabrovo!G18+Plachkovci!G18+Sevlievo!G18+Bqla!G18+Dunav_Ruse!G18+Silistra!G18+Tutrakan!G18+Seslav!G18+Karakuz!G18+Razgrad!G18+Voden!G18</f>
        <v>28</v>
      </c>
      <c r="H18" s="163">
        <f>Bujnovci!H18+Elena!H18+Bolqrka!H18+Gorna!H18+Svishtov!H18+Rosica!H18+Gabrovo!H18+Plachkovci!H18+Sevlievo!H18+Bqla!H18+Dunav_Ruse!H18+Silistra!H18+Tutrakan!H18+Seslav!H18+Karakuz!H18+Razgrad!H18+Voden!H18</f>
        <v>161</v>
      </c>
      <c r="I18" s="164"/>
      <c r="J18" s="162" t="s">
        <v>15</v>
      </c>
      <c r="K18" s="165">
        <f>Bujnovci!K18+Elena!K18+Bolqrka!K18+Gorna!K18+Svishtov!K18+Rosica!K18+Gabrovo!K18+Plachkovci!K18+Sevlievo!K18+Bqla!K18+Dunav_Ruse!K18+Silistra!K18+Tutrakan!K18+Seslav!K18+Karakuz!K18+Razgrad!K18+Voden!K18</f>
        <v>14.1</v>
      </c>
      <c r="L18" s="163">
        <f>Bujnovci!L18+Elena!L18+Bolqrka!L18+Gorna!L18+Svishtov!L18+Rosica!L18+Gabrovo!L18+Plachkovci!L18+Sevlievo!L18+Bqla!L18+Dunav_Ruse!L18+Silistra!L18+Tutrakan!L18+Seslav!L18+Karakuz!L18+Razgrad!L18+Voden!L18</f>
        <v>1199</v>
      </c>
      <c r="M18" s="163">
        <f>Bujnovci!M18+Elena!M18+Bolqrka!M18+Gorna!M18+Svishtov!M18+Rosica!M18+Gabrovo!M18+Plachkovci!M18+Sevlievo!M18+Bqla!M18+Dunav_Ruse!M18+Silistra!M18+Tutrakan!M18+Seslav!M18+Karakuz!M18+Razgrad!M18+Voden!M18</f>
        <v>1025</v>
      </c>
      <c r="N18" s="163">
        <f>Bujnovci!N18+Elena!N18+Bolqrka!N18+Gorna!N18+Svishtov!N18+Rosica!N18+Gabrovo!N18+Plachkovci!N18+Sevlievo!N18+Bqla!N18+Dunav_Ruse!N18+Silistra!N18+Tutrakan!N18+Seslav!N18+Karakuz!N18+Razgrad!N18+Voden!N18</f>
        <v>697</v>
      </c>
      <c r="O18" s="163">
        <f>Bujnovci!O18+Elena!O18+Bolqrka!O18+Gorna!O18+Svishtov!O18+Rosica!O18+Gabrovo!O18+Plachkovci!O18+Sevlievo!O18+Bqla!O18+Dunav_Ruse!O18+Silistra!O18+Tutrakan!O18+Seslav!O18+Karakuz!O18+Razgrad!O18+Voden!O18</f>
        <v>142</v>
      </c>
      <c r="P18" s="163">
        <f>Bujnovci!P18+Elena!P18+Bolqrka!P18+Gorna!P18+Svishtov!P18+Rosica!P18+Gabrovo!P18+Plachkovci!P18+Sevlievo!P18+Bqla!P18+Dunav_Ruse!P18+Silistra!P18+Tutrakan!P18+Seslav!P18+Karakuz!P18+Razgrad!P18+Voden!P18</f>
        <v>28</v>
      </c>
      <c r="Q18" s="163">
        <f>Bujnovci!Q18+Elena!Q18+Bolqrka!Q18+Gorna!Q18+Svishtov!Q18+Rosica!Q18+Gabrovo!Q18+Plachkovci!Q18+Sevlievo!Q18+Bqla!Q18+Dunav_Ruse!Q18+Silistra!Q18+Tutrakan!Q18+Seslav!Q18+Karakuz!Q18+Razgrad!Q18+Voden!Q18</f>
        <v>158</v>
      </c>
      <c r="R18" s="162" t="s">
        <v>15</v>
      </c>
      <c r="S18" s="165">
        <f>Bujnovci!S18+Elena!S18+Bolqrka!S18+Gorna!S18+Svishtov!S18+Rosica!S18+Gabrovo!S18+Plachkovci!S18+Sevlievo!S18+Bqla!S18+Dunav_Ruse!S18+Silistra!S18+Tutrakan!S18+Seslav!S18+Karakuz!S18+Razgrad!S18+Voden!S18</f>
        <v>0.7</v>
      </c>
      <c r="T18" s="163">
        <f>Bujnovci!T18+Elena!T18+Bolqrka!T18+Gorna!T18+Svishtov!T18+Rosica!T18+Gabrovo!T18+Plachkovci!T18+Sevlievo!T18+Bqla!T18+Dunav_Ruse!T18+Silistra!T18+Tutrakan!T18+Seslav!T18+Karakuz!T18+Razgrad!T18+Voden!T18</f>
        <v>26</v>
      </c>
      <c r="U18" s="163">
        <f>Bujnovci!U18+Elena!U18+Bolqrka!U18+Gorna!U18+Svishtov!U18+Rosica!U18+Gabrovo!U18+Plachkovci!U18+Sevlievo!U18+Bqla!U18+Dunav_Ruse!U18+Silistra!U18+Tutrakan!U18+Seslav!U18+Karakuz!U18+Razgrad!U18+Voden!U18</f>
        <v>23</v>
      </c>
      <c r="V18" s="163">
        <f>Bujnovci!V18+Elena!V18+Bolqrka!V18+Gorna!V18+Svishtov!V18+Rosica!V18+Gabrovo!V18+Plachkovci!V18+Sevlievo!V18+Bqla!V18+Dunav_Ruse!V18+Silistra!V18+Tutrakan!V18+Seslav!V18+Karakuz!V18+Razgrad!V18+Voden!V18</f>
        <v>20</v>
      </c>
      <c r="W18" s="163">
        <f>Bujnovci!W18+Elena!W18+Bolqrka!W18+Gorna!W18+Svishtov!W18+Rosica!W18+Gabrovo!W18+Plachkovci!W18+Sevlievo!W18+Bqla!W18+Dunav_Ruse!W18+Silistra!W18+Tutrakan!W18+Seslav!W18+Karakuz!W18+Razgrad!W18+Voden!W18</f>
        <v>0</v>
      </c>
      <c r="X18" s="163">
        <f>Bujnovci!X18+Elena!X18+Bolqrka!X18+Gorna!X18+Svishtov!X18+Rosica!X18+Gabrovo!X18+Plachkovci!X18+Sevlievo!X18+Bqla!X18+Dunav_Ruse!X18+Silistra!X18+Tutrakan!X18+Seslav!X18+Karakuz!X18+Razgrad!X18+Voden!X18</f>
        <v>0</v>
      </c>
      <c r="Y18" s="163">
        <f>Bujnovci!Y18+Elena!Y18+Bolqrka!Y18+Gorna!Y18+Svishtov!Y18+Rosica!Y18+Gabrovo!Y18+Plachkovci!Y18+Sevlievo!Y18+Bqla!Y18+Dunav_Ruse!Y18+Silistra!Y18+Tutrakan!Y18+Seslav!Y18+Karakuz!Y18+Razgrad!Y18+Voden!Y18</f>
        <v>3</v>
      </c>
      <c r="Z18" s="164"/>
      <c r="AA18" s="162" t="s">
        <v>15</v>
      </c>
      <c r="AB18" s="165">
        <f>Bujnovci!AB18+Elena!AB18+Bolqrka!AB18+Gorna!AB18+Svishtov!AB18+Rosica!AB18+Gabrovo!AB18+Plachkovci!AB18+Sevlievo!AB18+Bqla!AB18+Dunav_Ruse!AB18+Silistra!AB18+Tutrakan!AB18+Seslav!AB18+Karakuz!AB18+Razgrad!AB18+Voden!AB18</f>
        <v>0.7</v>
      </c>
      <c r="AC18" s="163">
        <f>Bujnovci!AC18+Elena!AC18+Bolqrka!AC18+Gorna!AC18+Svishtov!AC18+Rosica!AC18+Gabrovo!AC18+Plachkovci!AC18+Sevlievo!AC18+Bqla!AC18+Dunav_Ruse!AC18+Silistra!AC18+Tutrakan!AC18+Seslav!AC18+Karakuz!AC18+Razgrad!AC18+Voden!AC18</f>
        <v>26</v>
      </c>
      <c r="AD18" s="163">
        <f>Bujnovci!AD18+Elena!AD18+Bolqrka!AD18+Gorna!AD18+Svishtov!AD18+Rosica!AD18+Gabrovo!AD18+Plachkovci!AD18+Sevlievo!AD18+Bqla!AD18+Dunav_Ruse!AD18+Silistra!AD18+Tutrakan!AD18+Seslav!AD18+Karakuz!AD18+Razgrad!AD18+Voden!AD18</f>
        <v>23</v>
      </c>
      <c r="AE18" s="163">
        <f>Bujnovci!AE18+Elena!AE18+Bolqrka!AE18+Gorna!AE18+Svishtov!AE18+Rosica!AE18+Gabrovo!AE18+Plachkovci!AE18+Sevlievo!AE18+Bqla!AE18+Dunav_Ruse!AE18+Silistra!AE18+Tutrakan!AE18+Seslav!AE18+Karakuz!AE18+Razgrad!AE18+Voden!AE18</f>
        <v>20</v>
      </c>
      <c r="AF18" s="163">
        <f>Bujnovci!AF18+Elena!AF18+Bolqrka!AF18+Gorna!AF18+Svishtov!AF18+Rosica!AF18+Gabrovo!AF18+Plachkovci!AF18+Sevlievo!AF18+Bqla!AF18+Dunav_Ruse!AF18+Silistra!AF18+Tutrakan!AF18+Seslav!AF18+Karakuz!AF18+Razgrad!AF18+Voden!AF18</f>
        <v>0</v>
      </c>
      <c r="AG18" s="163">
        <f>Bujnovci!AG18+Elena!AG18+Bolqrka!AG18+Gorna!AG18+Svishtov!AG18+Rosica!AG18+Gabrovo!AG18+Plachkovci!AG18+Sevlievo!AG18+Bqla!AG18+Dunav_Ruse!AG18+Silistra!AG18+Tutrakan!AG18+Seslav!AG18+Karakuz!AG18+Razgrad!AG18+Voden!AG18</f>
        <v>0</v>
      </c>
      <c r="AH18" s="163">
        <f>Bujnovci!AH18+Elena!AH18+Bolqrka!AH18+Gorna!AH18+Svishtov!AH18+Rosica!AH18+Gabrovo!AH18+Plachkovci!AH18+Sevlievo!AH18+Bqla!AH18+Dunav_Ruse!AH18+Silistra!AH18+Tutrakan!AH18+Seslav!AH18+Karakuz!AH18+Razgrad!AH18+Voden!AH18</f>
        <v>3</v>
      </c>
      <c r="AI18" s="168"/>
      <c r="AJ18" s="163" t="s">
        <v>15</v>
      </c>
      <c r="AK18" s="165">
        <f>Bujnovci!AK18+Elena!AK18+Bolqrka!AK18+Gorna!AK18+Svishtov!AK18+Rosica!AK18+Gabrovo!AK18+Plachkovci!AK18+Sevlievo!AK18+Bqla!AK18+Dunav_Ruse!AK18+Silistra!AK18+Tutrakan!AK18+Seslav!AK18+Karakuz!AK18+Razgrad!AK18+Voden!AK18</f>
        <v>0</v>
      </c>
      <c r="AL18" s="163">
        <f>Bujnovci!AL18+Elena!AL18+Bolqrka!AL18+Gorna!AL18+Svishtov!AL18+Rosica!AL18+Gabrovo!AL18+Plachkovci!AL18+Sevlievo!AL18+Bqla!AL18+Dunav_Ruse!AL18+Silistra!AL18+Tutrakan!AL18+Seslav!AL18+Karakuz!AL18+Razgrad!AL18+Voden!AL18</f>
        <v>7</v>
      </c>
      <c r="AM18" s="163">
        <f>Bujnovci!AM18+Elena!AM18+Bolqrka!AM18+Gorna!AM18+Svishtov!AM18+Rosica!AM18+Gabrovo!AM18+Plachkovci!AM18+Sevlievo!AM18+Bqla!AM18+Dunav_Ruse!AM18+Silistra!AM18+Tutrakan!AM18+Seslav!AM18+Karakuz!AM18+Razgrad!AM18+Voden!AM18</f>
        <v>6</v>
      </c>
      <c r="AN18" s="163">
        <f>Bujnovci!AN18+Elena!AN18+Bolqrka!AN18+Gorna!AN18+Svishtov!AN18+Rosica!AN18+Gabrovo!AN18+Plachkovci!AN18+Sevlievo!AN18+Bqla!AN18+Dunav_Ruse!AN18+Silistra!AN18+Tutrakan!AN18+Seslav!AN18+Karakuz!AN18+Razgrad!AN18+Voden!AN18</f>
        <v>0</v>
      </c>
      <c r="AO18" s="163">
        <f>Bujnovci!AO18+Elena!AO18+Bolqrka!AO18+Gorna!AO18+Svishtov!AO18+Rosica!AO18+Gabrovo!AO18+Plachkovci!AO18+Sevlievo!AO18+Bqla!AO18+Dunav_Ruse!AO18+Silistra!AO18+Tutrakan!AO18+Seslav!AO18+Karakuz!AO18+Razgrad!AO18+Voden!AO18</f>
        <v>0</v>
      </c>
      <c r="AP18" s="163">
        <f>Bujnovci!AP18+Elena!AP18+Bolqrka!AP18+Gorna!AP18+Svishtov!AP18+Rosica!AP18+Gabrovo!AP18+Plachkovci!AP18+Sevlievo!AP18+Bqla!AP18+Dunav_Ruse!AP18+Silistra!AP18+Tutrakan!AP18+Seslav!AP18+Karakuz!AP18+Razgrad!AP18+Voden!AP18</f>
        <v>0</v>
      </c>
      <c r="AQ18" s="163">
        <f>Bujnovci!AQ18+Elena!AQ18+Bolqrka!AQ18+Gorna!AQ18+Svishtov!AQ18+Rosica!AQ18+Gabrovo!AQ18+Plachkovci!AQ18+Sevlievo!AQ18+Bqla!AQ18+Dunav_Ruse!AQ18+Silistra!AQ18+Tutrakan!AQ18+Seslav!AQ18+Karakuz!AQ18+Razgrad!AQ18+Voden!AQ18</f>
        <v>0</v>
      </c>
      <c r="AR18" s="164"/>
      <c r="AS18" s="164"/>
    </row>
    <row r="19" spans="1:45" ht="12">
      <c r="A19" s="176" t="s">
        <v>16</v>
      </c>
      <c r="B19" s="163"/>
      <c r="C19" s="163"/>
      <c r="D19" s="163"/>
      <c r="E19" s="163"/>
      <c r="F19" s="163"/>
      <c r="G19" s="163"/>
      <c r="H19" s="163"/>
      <c r="I19" s="164"/>
      <c r="J19" s="176" t="s">
        <v>16</v>
      </c>
      <c r="K19" s="163"/>
      <c r="L19" s="163"/>
      <c r="M19" s="163"/>
      <c r="N19" s="163"/>
      <c r="O19" s="163"/>
      <c r="P19" s="163"/>
      <c r="Q19" s="163"/>
      <c r="R19" s="176" t="s">
        <v>16</v>
      </c>
      <c r="S19" s="163"/>
      <c r="T19" s="163"/>
      <c r="U19" s="163"/>
      <c r="V19" s="163"/>
      <c r="W19" s="163"/>
      <c r="X19" s="163"/>
      <c r="Y19" s="163"/>
      <c r="Z19" s="164"/>
      <c r="AA19" s="162" t="s">
        <v>16</v>
      </c>
      <c r="AB19" s="163"/>
      <c r="AC19" s="163"/>
      <c r="AD19" s="163"/>
      <c r="AE19" s="163"/>
      <c r="AF19" s="163"/>
      <c r="AG19" s="163"/>
      <c r="AH19" s="163"/>
      <c r="AI19" s="173"/>
      <c r="AJ19" s="163" t="s">
        <v>16</v>
      </c>
      <c r="AK19" s="196"/>
      <c r="AL19" s="163"/>
      <c r="AM19" s="163"/>
      <c r="AN19" s="163"/>
      <c r="AO19" s="163"/>
      <c r="AP19" s="163"/>
      <c r="AQ19" s="163"/>
      <c r="AR19" s="164"/>
      <c r="AS19" s="164"/>
    </row>
    <row r="20" spans="1:45" s="160" customFormat="1" ht="12">
      <c r="A20" s="172" t="s">
        <v>18</v>
      </c>
      <c r="B20" s="165">
        <f>Bujnovci!B20+Elena!B20+Bolqrka!B20+Gorna!B20+Svishtov!B20+Rosica!B20+Gabrovo!B20+Plachkovci!B20+Sevlievo!B20+Bqla!B20+Dunav_Ruse!B20+Silistra!B20+Tutrakan!B20+Seslav!B20+Karakuz!B20+Razgrad!B20+Voden!B20</f>
        <v>10186.759999999998</v>
      </c>
      <c r="C20" s="163">
        <f>Bujnovci!C20+Elena!C20+Bolqrka!C20+Gorna!C20+Svishtov!C20+Rosica!C20+Gabrovo!C20+Plachkovci!C20+Sevlievo!C20+Bqla!C20+Dunav_Ruse!C20+Silistra!C20+Tutrakan!C20+Seslav!C20+Karakuz!C20+Razgrad!C20+Voden!C20</f>
        <v>572978.5</v>
      </c>
      <c r="D20" s="163">
        <f>Bujnovci!D20+Elena!D20+Bolqrka!D20+Gorna!D20+Svishtov!D20+Rosica!D20+Gabrovo!D20+Plachkovci!D20+Sevlievo!D20+Bqla!D20+Dunav_Ruse!D20+Silistra!D20+Tutrakan!D20+Seslav!D20+Karakuz!D20+Razgrad!D20+Voden!D20</f>
        <v>494953.5</v>
      </c>
      <c r="E20" s="163">
        <f>Bujnovci!E20+Elena!E20+Bolqrka!E20+Gorna!E20+Svishtov!E20+Rosica!E20+Gabrovo!E20+Plachkovci!E20+Sevlievo!E20+Bqla!E20+Dunav_Ruse!E20+Silistra!E20+Tutrakan!E20+Seslav!E20+Karakuz!E20+Razgrad!E20+Voden!E20</f>
        <v>87230</v>
      </c>
      <c r="F20" s="163">
        <f>Bujnovci!F20+Elena!F20+Bolqrka!F20+Gorna!F20+Svishtov!F20+Rosica!F20+Gabrovo!F20+Plachkovci!F20+Sevlievo!F20+Bqla!F20+Dunav_Ruse!F20+Silistra!F20+Tutrakan!F20+Seslav!F20+Karakuz!F20+Razgrad!F20+Voden!F20</f>
        <v>105932</v>
      </c>
      <c r="G20" s="163">
        <f>Bujnovci!G20+Elena!G20+Bolqrka!G20+Gorna!G20+Svishtov!G20+Rosica!G20+Gabrovo!G20+Plachkovci!G20+Sevlievo!G20+Bqla!G20+Dunav_Ruse!G20+Silistra!G20+Tutrakan!G20+Seslav!G20+Karakuz!G20+Razgrad!G20+Voden!G20</f>
        <v>29363</v>
      </c>
      <c r="H20" s="163">
        <f>Bujnovci!H20+Elena!H20+Bolqrka!H20+Gorna!H20+Svishtov!H20+Rosica!H20+Gabrovo!H20+Plachkovci!H20+Sevlievo!H20+Bqla!H20+Dunav_Ruse!H20+Silistra!H20+Tutrakan!H20+Seslav!H20+Karakuz!H20+Razgrad!H20+Voden!H20</f>
        <v>272147</v>
      </c>
      <c r="I20" s="164"/>
      <c r="J20" s="172" t="s">
        <v>18</v>
      </c>
      <c r="K20" s="165">
        <f>Bujnovci!K20+Elena!K20+Bolqrka!K20+Gorna!K20+Svishtov!K20+Rosica!K20+Gabrovo!K20+Plachkovci!K20+Sevlievo!K20+Bqla!K20+Dunav_Ruse!K20+Silistra!K20+Tutrakan!K20+Seslav!K20+Karakuz!K20+Razgrad!K20+Voden!K20</f>
        <v>3289.2400000000002</v>
      </c>
      <c r="L20" s="163">
        <f>Bujnovci!L20+Elena!L20+Bolqrka!L20+Gorna!L20+Svishtov!L20+Rosica!L20+Gabrovo!L20+Plachkovci!L20+Sevlievo!L20+Bqla!L20+Dunav_Ruse!L20+Silistra!L20+Tutrakan!L20+Seslav!L20+Karakuz!L20+Razgrad!L20+Voden!L20</f>
        <v>113361.5</v>
      </c>
      <c r="M20" s="163">
        <f>Bujnovci!M20+Elena!M20+Bolqrka!M20+Gorna!M20+Svishtov!M20+Rosica!M20+Gabrovo!M20+Plachkovci!M20+Sevlievo!M20+Bqla!M20+Dunav_Ruse!M20+Silistra!M20+Tutrakan!M20+Seslav!M20+Karakuz!M20+Razgrad!M20+Voden!M20</f>
        <v>93247.5</v>
      </c>
      <c r="N20" s="163">
        <f>Bujnovci!N20+Elena!N20+Bolqrka!N20+Gorna!N20+Svishtov!N20+Rosica!N20+Gabrovo!N20+Plachkovci!N20+Sevlievo!N20+Bqla!N20+Dunav_Ruse!N20+Silistra!N20+Tutrakan!N20+Seslav!N20+Karakuz!N20+Razgrad!N20+Voden!N20</f>
        <v>7916.5</v>
      </c>
      <c r="O20" s="163">
        <f>Bujnovci!O20+Elena!O20+Bolqrka!O20+Gorna!O20+Svishtov!O20+Rosica!O20+Gabrovo!O20+Plachkovci!O20+Sevlievo!O20+Bqla!O20+Dunav_Ruse!O20+Silistra!O20+Tutrakan!O20+Seslav!O20+Karakuz!O20+Razgrad!O20+Voden!O20</f>
        <v>22713</v>
      </c>
      <c r="P20" s="163">
        <f>Bujnovci!P20+Elena!P20+Bolqrka!P20+Gorna!P20+Svishtov!P20+Rosica!P20+Gabrovo!P20+Plachkovci!P20+Sevlievo!P20+Bqla!P20+Dunav_Ruse!P20+Silistra!P20+Tutrakan!P20+Seslav!P20+Karakuz!P20+Razgrad!P20+Voden!P20</f>
        <v>7182.5</v>
      </c>
      <c r="Q20" s="163">
        <f>Bujnovci!Q20+Elena!Q20+Bolqrka!Q20+Gorna!Q20+Svishtov!Q20+Rosica!Q20+Gabrovo!Q20+Plachkovci!Q20+Sevlievo!Q20+Bqla!Q20+Dunav_Ruse!Q20+Silistra!Q20+Tutrakan!Q20+Seslav!Q20+Karakuz!Q20+Razgrad!Q20+Voden!Q20</f>
        <v>55270</v>
      </c>
      <c r="R20" s="172" t="s">
        <v>18</v>
      </c>
      <c r="S20" s="165">
        <f>Bujnovci!S20+Elena!S20+Bolqrka!S20+Gorna!S20+Svishtov!S20+Rosica!S20+Gabrovo!S20+Plachkovci!S20+Sevlievo!S20+Bqla!S20+Dunav_Ruse!S20+Silistra!S20+Tutrakan!S20+Seslav!S20+Karakuz!S20+Razgrad!S20+Voden!S20</f>
        <v>6631.420000000001</v>
      </c>
      <c r="T20" s="163">
        <f>Bujnovci!T20+Elena!T20+Bolqrka!T20+Gorna!T20+Svishtov!T20+Rosica!T20+Gabrovo!T20+Plachkovci!T20+Sevlievo!T20+Bqla!T20+Dunav_Ruse!T20+Silistra!T20+Tutrakan!T20+Seslav!T20+Karakuz!T20+Razgrad!T20+Voden!T20</f>
        <v>447672</v>
      </c>
      <c r="U20" s="163">
        <f>Bujnovci!U20+Elena!U20+Bolqrka!U20+Gorna!U20+Svishtov!U20+Rosica!U20+Gabrovo!U20+Plachkovci!U20+Sevlievo!U20+Bqla!U20+Dunav_Ruse!U20+Silistra!U20+Tutrakan!U20+Seslav!U20+Karakuz!U20+Razgrad!U20+Voden!U20</f>
        <v>391896</v>
      </c>
      <c r="V20" s="163">
        <f>Bujnovci!V20+Elena!V20+Bolqrka!V20+Gorna!V20+Svishtov!V20+Rosica!V20+Gabrovo!V20+Plachkovci!V20+Sevlievo!V20+Bqla!V20+Dunav_Ruse!V20+Silistra!V20+Tutrakan!V20+Seslav!V20+Karakuz!V20+Razgrad!V20+Voden!V20</f>
        <v>78833.5</v>
      </c>
      <c r="W20" s="163">
        <f>Bujnovci!W20+Elena!W20+Bolqrka!W20+Gorna!W20+Svishtov!W20+Rosica!W20+Gabrovo!W20+Plachkovci!W20+Sevlievo!W20+Bqla!W20+Dunav_Ruse!W20+Silistra!W20+Tutrakan!W20+Seslav!W20+Karakuz!W20+Razgrad!W20+Voden!W20</f>
        <v>82278</v>
      </c>
      <c r="X20" s="163">
        <f>Bujnovci!X20+Elena!X20+Bolqrka!X20+Gorna!X20+Svishtov!X20+Rosica!X20+Gabrovo!X20+Plachkovci!X20+Sevlievo!X20+Bqla!X20+Dunav_Ruse!X20+Silistra!X20+Tutrakan!X20+Seslav!X20+Karakuz!X20+Razgrad!X20+Voden!X20</f>
        <v>21480.5</v>
      </c>
      <c r="Y20" s="163">
        <f>Bujnovci!Y20+Elena!Y20+Bolqrka!Y20+Gorna!Y20+Svishtov!Y20+Rosica!Y20+Gabrovo!Y20+Plachkovci!Y20+Sevlievo!Y20+Bqla!Y20+Dunav_Ruse!Y20+Silistra!Y20+Tutrakan!Y20+Seslav!Y20+Karakuz!Y20+Razgrad!Y20+Voden!Y20</f>
        <v>209188</v>
      </c>
      <c r="Z20" s="164"/>
      <c r="AA20" s="172" t="s">
        <v>18</v>
      </c>
      <c r="AB20" s="165">
        <f>Bujnovci!AB20+Elena!AB20+Bolqrka!AB20+Gorna!AB20+Svishtov!AB20+Rosica!AB20+Gabrovo!AB20+Plachkovci!AB20+Sevlievo!AB20+Bqla!AB20+Dunav_Ruse!AB20+Silistra!AB20+Tutrakan!AB20+Seslav!AB20+Karakuz!AB20+Razgrad!AB20+Voden!AB20</f>
        <v>1746.0000000000002</v>
      </c>
      <c r="AC20" s="163">
        <f>Bujnovci!AC20+Elena!AC20+Bolqrka!AC20+Gorna!AC20+Svishtov!AC20+Rosica!AC20+Gabrovo!AC20+Plachkovci!AC20+Sevlievo!AC20+Bqla!AC20+Dunav_Ruse!AC20+Silistra!AC20+Tutrakan!AC20+Seslav!AC20+Karakuz!AC20+Razgrad!AC20+Voden!AC20</f>
        <v>160742</v>
      </c>
      <c r="AD20" s="163">
        <f>Bujnovci!AD20+Elena!AD20+Bolqrka!AD20+Gorna!AD20+Svishtov!AD20+Rosica!AD20+Gabrovo!AD20+Plachkovci!AD20+Sevlievo!AD20+Bqla!AD20+Dunav_Ruse!AD20+Silistra!AD20+Tutrakan!AD20+Seslav!AD20+Karakuz!AD20+Razgrad!AD20+Voden!AD20</f>
        <v>141614</v>
      </c>
      <c r="AE20" s="163">
        <f>Bujnovci!AE20+Elena!AE20+Bolqrka!AE20+Gorna!AE20+Svishtov!AE20+Rosica!AE20+Gabrovo!AE20+Plachkovci!AE20+Sevlievo!AE20+Bqla!AE20+Dunav_Ruse!AE20+Silistra!AE20+Tutrakan!AE20+Seslav!AE20+Karakuz!AE20+Razgrad!AE20+Voden!AE20</f>
        <v>62407.5</v>
      </c>
      <c r="AF20" s="163">
        <f>Bujnovci!AF20+Elena!AF20+Bolqrka!AF20+Gorna!AF20+Svishtov!AF20+Rosica!AF20+Gabrovo!AF20+Plachkovci!AF20+Sevlievo!AF20+Bqla!AF20+Dunav_Ruse!AF20+Silistra!AF20+Tutrakan!AF20+Seslav!AF20+Karakuz!AF20+Razgrad!AF20+Voden!AF20</f>
        <v>21366</v>
      </c>
      <c r="AG20" s="163">
        <f>Bujnovci!AG20+Elena!AG20+Bolqrka!AG20+Gorna!AG20+Svishtov!AG20+Rosica!AG20+Gabrovo!AG20+Plachkovci!AG20+Sevlievo!AG20+Bqla!AG20+Dunav_Ruse!AG20+Silistra!AG20+Tutrakan!AG20+Seslav!AG20+Karakuz!AG20+Razgrad!AG20+Voden!AG20</f>
        <v>4387</v>
      </c>
      <c r="AH20" s="163">
        <f>Bujnovci!AH20+Elena!AH20+Bolqrka!AH20+Gorna!AH20+Svishtov!AH20+Rosica!AH20+Gabrovo!AH20+Plachkovci!AH20+Sevlievo!AH20+Bqla!AH20+Dunav_Ruse!AH20+Silistra!AH20+Tutrakan!AH20+Seslav!AH20+Karakuz!AH20+Razgrad!AH20+Voden!AH20</f>
        <v>53412</v>
      </c>
      <c r="AI20" s="168"/>
      <c r="AJ20" s="163" t="s">
        <v>18</v>
      </c>
      <c r="AK20" s="165">
        <f>Bujnovci!AK20+Elena!AK20+Bolqrka!AK20+Gorna!AK20+Svishtov!AK20+Rosica!AK20+Gabrovo!AK20+Plachkovci!AK20+Sevlievo!AK20+Bqla!AK20+Dunav_Ruse!AK20+Silistra!AK20+Tutrakan!AK20+Seslav!AK20+Karakuz!AK20+Razgrad!AK20+Voden!AK20</f>
        <v>266.10000000000002</v>
      </c>
      <c r="AL20" s="163">
        <f>Bujnovci!AL20+Elena!AL20+Bolqrka!AL20+Gorna!AL20+Svishtov!AL20+Rosica!AL20+Gabrovo!AL20+Plachkovci!AL20+Sevlievo!AL20+Bqla!AL20+Dunav_Ruse!AL20+Silistra!AL20+Tutrakan!AL20+Seslav!AL20+Karakuz!AL20+Razgrad!AL20+Voden!AL20</f>
        <v>11945</v>
      </c>
      <c r="AM20" s="163">
        <f>Bujnovci!AM20+Elena!AM20+Bolqrka!AM20+Gorna!AM20+Svishtov!AM20+Rosica!AM20+Gabrovo!AM20+Plachkovci!AM20+Sevlievo!AM20+Bqla!AM20+Dunav_Ruse!AM20+Silistra!AM20+Tutrakan!AM20+Seslav!AM20+Karakuz!AM20+Razgrad!AM20+Voden!AM20</f>
        <v>9810</v>
      </c>
      <c r="AN20" s="163">
        <f>Bujnovci!AN20+Elena!AN20+Bolqrka!AN20+Gorna!AN20+Svishtov!AN20+Rosica!AN20+Gabrovo!AN20+Plachkovci!AN20+Sevlievo!AN20+Bqla!AN20+Dunav_Ruse!AN20+Silistra!AN20+Tutrakan!AN20+Seslav!AN20+Karakuz!AN20+Razgrad!AN20+Voden!AN20</f>
        <v>480</v>
      </c>
      <c r="AO20" s="163">
        <f>Bujnovci!AO20+Elena!AO20+Bolqrka!AO20+Gorna!AO20+Svishtov!AO20+Rosica!AO20+Gabrovo!AO20+Plachkovci!AO20+Sevlievo!AO20+Bqla!AO20+Dunav_Ruse!AO20+Silistra!AO20+Tutrakan!AO20+Seslav!AO20+Karakuz!AO20+Razgrad!AO20+Voden!AO20</f>
        <v>941</v>
      </c>
      <c r="AP20" s="163">
        <f>Bujnovci!AP20+Elena!AP20+Bolqrka!AP20+Gorna!AP20+Svishtov!AP20+Rosica!AP20+Gabrovo!AP20+Plachkovci!AP20+Sevlievo!AP20+Bqla!AP20+Dunav_Ruse!AP20+Silistra!AP20+Tutrakan!AP20+Seslav!AP20+Karakuz!AP20+Razgrad!AP20+Voden!AP20</f>
        <v>700</v>
      </c>
      <c r="AQ20" s="163">
        <f>Bujnovci!AQ20+Elena!AQ20+Bolqrka!AQ20+Gorna!AQ20+Svishtov!AQ20+Rosica!AQ20+Gabrovo!AQ20+Plachkovci!AQ20+Sevlievo!AQ20+Bqla!AQ20+Dunav_Ruse!AQ20+Silistra!AQ20+Tutrakan!AQ20+Seslav!AQ20+Karakuz!AQ20+Razgrad!AQ20+Voden!AQ20</f>
        <v>7689</v>
      </c>
      <c r="AR20" s="164"/>
      <c r="AS20" s="164"/>
    </row>
    <row r="21" spans="1:45" ht="12">
      <c r="A21" s="174" t="s">
        <v>19</v>
      </c>
      <c r="B21" s="165">
        <f>Bujnovci!B21+Elena!B21+Bolqrka!B21+Gorna!B21+Svishtov!B21+Rosica!B21+Gabrovo!B21+Plachkovci!B21+Sevlievo!B21+Bqla!B21+Dunav_Ruse!B21+Silistra!B21+Tutrakan!B21+Seslav!B21+Karakuz!B21+Razgrad!B21+Voden!B21</f>
        <v>8889.73</v>
      </c>
      <c r="C21" s="163">
        <f>Bujnovci!C21+Elena!C21+Bolqrka!C21+Gorna!C21+Svishtov!C21+Rosica!C21+Gabrovo!C21+Plachkovci!C21+Sevlievo!C21+Bqla!C21+Dunav_Ruse!C21+Silistra!C21+Tutrakan!C21+Seslav!C21+Karakuz!C21+Razgrad!C21+Voden!C21</f>
        <v>497782</v>
      </c>
      <c r="D21" s="163">
        <f>Bujnovci!D21+Elena!D21+Bolqrka!D21+Gorna!D21+Svishtov!D21+Rosica!D21+Gabrovo!D21+Plachkovci!D21+Sevlievo!D21+Bqla!D21+Dunav_Ruse!D21+Silistra!D21+Tutrakan!D21+Seslav!D21+Karakuz!D21+Razgrad!D21+Voden!D21</f>
        <v>450069</v>
      </c>
      <c r="E21" s="163">
        <f>Bujnovci!E21+Elena!E21+Bolqrka!E21+Gorna!E21+Svishtov!E21+Rosica!E21+Gabrovo!E21+Plachkovci!E21+Sevlievo!E21+Bqla!E21+Dunav_Ruse!E21+Silistra!E21+Tutrakan!E21+Seslav!E21+Karakuz!E21+Razgrad!E21+Voden!E21</f>
        <v>88114</v>
      </c>
      <c r="F21" s="163">
        <f>Bujnovci!F21+Elena!F21+Bolqrka!F21+Gorna!F21+Svishtov!F21+Rosica!F21+Gabrovo!F21+Plachkovci!F21+Sevlievo!F21+Bqla!F21+Dunav_Ruse!F21+Silistra!F21+Tutrakan!F21+Seslav!F21+Karakuz!F21+Razgrad!F21+Voden!F21</f>
        <v>59121</v>
      </c>
      <c r="G21" s="163">
        <f>Bujnovci!G21+Elena!G21+Bolqrka!G21+Gorna!G21+Svishtov!G21+Rosica!G21+Gabrovo!G21+Plachkovci!G21+Sevlievo!G21+Bqla!G21+Dunav_Ruse!G21+Silistra!G21+Tutrakan!G21+Seslav!G21+Karakuz!G21+Razgrad!G21+Voden!G21</f>
        <v>15059</v>
      </c>
      <c r="H21" s="163">
        <f>Bujnovci!H21+Elena!H21+Bolqrka!H21+Gorna!H21+Svishtov!H21+Rosica!H21+Gabrovo!H21+Plachkovci!H21+Sevlievo!H21+Bqla!H21+Dunav_Ruse!H21+Silistra!H21+Tutrakan!H21+Seslav!H21+Karakuz!H21+Razgrad!H21+Voden!H21</f>
        <v>287775</v>
      </c>
      <c r="I21" s="164"/>
      <c r="J21" s="174" t="s">
        <v>19</v>
      </c>
      <c r="K21" s="165">
        <f>Bujnovci!K21+Elena!K21+Bolqrka!K21+Gorna!K21+Svishtov!K21+Rosica!K21+Gabrovo!K21+Plachkovci!K21+Sevlievo!K21+Bqla!K21+Dunav_Ruse!K21+Silistra!K21+Tutrakan!K21+Seslav!K21+Karakuz!K21+Razgrad!K21+Voden!K21</f>
        <v>2620</v>
      </c>
      <c r="L21" s="163">
        <f>Bujnovci!L21+Elena!L21+Bolqrka!L21+Gorna!L21+Svishtov!L21+Rosica!L21+Gabrovo!L21+Plachkovci!L21+Sevlievo!L21+Bqla!L21+Dunav_Ruse!L21+Silistra!L21+Tutrakan!L21+Seslav!L21+Karakuz!L21+Razgrad!L21+Voden!L21</f>
        <v>98528</v>
      </c>
      <c r="M21" s="163">
        <f>Bujnovci!M21+Elena!M21+Bolqrka!M21+Gorna!M21+Svishtov!M21+Rosica!M21+Gabrovo!M21+Plachkovci!M21+Sevlievo!M21+Bqla!M21+Dunav_Ruse!M21+Silistra!M21+Tutrakan!M21+Seslav!M21+Karakuz!M21+Razgrad!M21+Voden!M21</f>
        <v>88745</v>
      </c>
      <c r="N21" s="163">
        <f>Bujnovci!N21+Elena!N21+Bolqrka!N21+Gorna!N21+Svishtov!N21+Rosica!N21+Gabrovo!N21+Plachkovci!N21+Sevlievo!N21+Bqla!N21+Dunav_Ruse!N21+Silistra!N21+Tutrakan!N21+Seslav!N21+Karakuz!N21+Razgrad!N21+Voden!N21</f>
        <v>7899</v>
      </c>
      <c r="O21" s="163">
        <f>Bujnovci!O21+Elena!O21+Bolqrka!O21+Gorna!O21+Svishtov!O21+Rosica!O21+Gabrovo!O21+Plachkovci!O21+Sevlievo!O21+Bqla!O21+Dunav_Ruse!O21+Silistra!O21+Tutrakan!O21+Seslav!O21+Karakuz!O21+Razgrad!O21+Voden!O21</f>
        <v>11646</v>
      </c>
      <c r="P21" s="163">
        <f>Bujnovci!P21+Elena!P21+Bolqrka!P21+Gorna!P21+Svishtov!P21+Rosica!P21+Gabrovo!P21+Plachkovci!P21+Sevlievo!P21+Bqla!P21+Dunav_Ruse!P21+Silistra!P21+Tutrakan!P21+Seslav!P21+Karakuz!P21+Razgrad!P21+Voden!P21</f>
        <v>2129</v>
      </c>
      <c r="Q21" s="163">
        <f>Bujnovci!Q21+Elena!Q21+Bolqrka!Q21+Gorna!Q21+Svishtov!Q21+Rosica!Q21+Gabrovo!Q21+Plachkovci!Q21+Sevlievo!Q21+Bqla!Q21+Dunav_Ruse!Q21+Silistra!Q21+Tutrakan!Q21+Seslav!Q21+Karakuz!Q21+Razgrad!Q21+Voden!Q21</f>
        <v>67071</v>
      </c>
      <c r="R21" s="174" t="s">
        <v>19</v>
      </c>
      <c r="S21" s="165">
        <f>Bujnovci!S21+Elena!S21+Bolqrka!S21+Gorna!S21+Svishtov!S21+Rosica!S21+Gabrovo!S21+Plachkovci!S21+Sevlievo!S21+Bqla!S21+Dunav_Ruse!S21+Silistra!S21+Tutrakan!S21+Seslav!S21+Karakuz!S21+Razgrad!S21+Voden!S21</f>
        <v>6237.2499999999991</v>
      </c>
      <c r="T21" s="163">
        <f>Bujnovci!T21+Elena!T21+Bolqrka!T21+Gorna!T21+Svishtov!T21+Rosica!T21+Gabrovo!T21+Plachkovci!T21+Sevlievo!T21+Bqla!T21+Dunav_Ruse!T21+Silistra!T21+Tutrakan!T21+Seslav!T21+Karakuz!T21+Razgrad!T21+Voden!T21</f>
        <v>396579</v>
      </c>
      <c r="U21" s="163">
        <f>Bujnovci!U21+Elena!U21+Bolqrka!U21+Gorna!U21+Svishtov!U21+Rosica!U21+Gabrovo!U21+Plachkovci!U21+Sevlievo!U21+Bqla!U21+Dunav_Ruse!U21+Silistra!U21+Tutrakan!U21+Seslav!U21+Karakuz!U21+Razgrad!U21+Voden!U21</f>
        <v>358807</v>
      </c>
      <c r="V21" s="163">
        <f>Bujnovci!V21+Elena!V21+Bolqrka!V21+Gorna!V21+Svishtov!V21+Rosica!V21+Gabrovo!V21+Plachkovci!V21+Sevlievo!V21+Bqla!V21+Dunav_Ruse!V21+Silistra!V21+Tutrakan!V21+Seslav!V21+Karakuz!V21+Razgrad!V21+Voden!V21</f>
        <v>79742</v>
      </c>
      <c r="W21" s="163">
        <f>Bujnovci!W21+Elena!W21+Bolqrka!W21+Gorna!W21+Svishtov!W21+Rosica!W21+Gabrovo!W21+Plachkovci!W21+Sevlievo!W21+Bqla!W21+Dunav_Ruse!W21+Silistra!W21+Tutrakan!W21+Seslav!W21+Karakuz!W21+Razgrad!W21+Voden!W21</f>
        <v>47292</v>
      </c>
      <c r="X21" s="163">
        <f>Bujnovci!X21+Elena!X21+Bolqrka!X21+Gorna!X21+Svishtov!X21+Rosica!X21+Gabrovo!X21+Plachkovci!X21+Sevlievo!X21+Bqla!X21+Dunav_Ruse!X21+Silistra!X21+Tutrakan!X21+Seslav!X21+Karakuz!X21+Razgrad!X21+Voden!X21</f>
        <v>12900</v>
      </c>
      <c r="Y21" s="163">
        <f>Bujnovci!Y21+Elena!Y21+Bolqrka!Y21+Gorna!Y21+Svishtov!Y21+Rosica!Y21+Gabrovo!Y21+Plachkovci!Y21+Sevlievo!Y21+Bqla!Y21+Dunav_Ruse!Y21+Silistra!Y21+Tutrakan!Y21+Seslav!Y21+Karakuz!Y21+Razgrad!Y21+Voden!Y21</f>
        <v>218883</v>
      </c>
      <c r="Z21" s="164"/>
      <c r="AA21" s="174" t="s">
        <v>19</v>
      </c>
      <c r="AB21" s="165">
        <f>Bujnovci!AB21+Elena!AB21+Bolqrka!AB21+Gorna!AB21+Svishtov!AB21+Rosica!AB21+Gabrovo!AB21+Plachkovci!AB21+Sevlievo!AB21+Bqla!AB21+Dunav_Ruse!AB21+Silistra!AB21+Tutrakan!AB21+Seslav!AB21+Karakuz!AB21+Razgrad!AB21+Voden!AB21</f>
        <v>1180.8000000000002</v>
      </c>
      <c r="AC21" s="163">
        <f>Bujnovci!AC21+Elena!AC21+Bolqrka!AC21+Gorna!AC21+Svishtov!AC21+Rosica!AC21+Gabrovo!AC21+Plachkovci!AC21+Sevlievo!AC21+Bqla!AC21+Dunav_Ruse!AC21+Silistra!AC21+Tutrakan!AC21+Seslav!AC21+Karakuz!AC21+Razgrad!AC21+Voden!AC21</f>
        <v>126247</v>
      </c>
      <c r="AD21" s="163">
        <f>Bujnovci!AD21+Elena!AD21+Bolqrka!AD21+Gorna!AD21+Svishtov!AD21+Rosica!AD21+Gabrovo!AD21+Plachkovci!AD21+Sevlievo!AD21+Bqla!AD21+Dunav_Ruse!AD21+Silistra!AD21+Tutrakan!AD21+Seslav!AD21+Karakuz!AD21+Razgrad!AD21+Voden!AD21</f>
        <v>115211</v>
      </c>
      <c r="AE21" s="163">
        <f>Bujnovci!AE21+Elena!AE21+Bolqrka!AE21+Gorna!AE21+Svishtov!AE21+Rosica!AE21+Gabrovo!AE21+Plachkovci!AE21+Sevlievo!AE21+Bqla!AE21+Dunav_Ruse!AE21+Silistra!AE21+Tutrakan!AE21+Seslav!AE21+Karakuz!AE21+Razgrad!AE21+Voden!AE21</f>
        <v>54262</v>
      </c>
      <c r="AF21" s="163">
        <f>Bujnovci!AF21+Elena!AF21+Bolqrka!AF21+Gorna!AF21+Svishtov!AF21+Rosica!AF21+Gabrovo!AF21+Plachkovci!AF21+Sevlievo!AF21+Bqla!AF21+Dunav_Ruse!AF21+Silistra!AF21+Tutrakan!AF21+Seslav!AF21+Karakuz!AF21+Razgrad!AF21+Voden!AF21</f>
        <v>12432</v>
      </c>
      <c r="AG21" s="163">
        <f>Bujnovci!AG21+Elena!AG21+Bolqrka!AG21+Gorna!AG21+Svishtov!AG21+Rosica!AG21+Gabrovo!AG21+Plachkovci!AG21+Sevlievo!AG21+Bqla!AG21+Dunav_Ruse!AG21+Silistra!AG21+Tutrakan!AG21+Seslav!AG21+Karakuz!AG21+Razgrad!AG21+Voden!AG21</f>
        <v>3065</v>
      </c>
      <c r="AH21" s="163">
        <f>Bujnovci!AH21+Elena!AH21+Bolqrka!AH21+Gorna!AH21+Svishtov!AH21+Rosica!AH21+Gabrovo!AH21+Plachkovci!AH21+Sevlievo!AH21+Bqla!AH21+Dunav_Ruse!AH21+Silistra!AH21+Tutrakan!AH21+Seslav!AH21+Karakuz!AH21+Razgrad!AH21+Voden!AH21</f>
        <v>45452</v>
      </c>
      <c r="AI21" s="168"/>
      <c r="AJ21" s="163" t="s">
        <v>19</v>
      </c>
      <c r="AK21" s="165">
        <f>Bujnovci!AK21+Elena!AK21+Bolqrka!AK21+Gorna!AK21+Svishtov!AK21+Rosica!AK21+Gabrovo!AK21+Plachkovci!AK21+Sevlievo!AK21+Bqla!AK21+Dunav_Ruse!AK21+Silistra!AK21+Tutrakan!AK21+Seslav!AK21+Karakuz!AK21+Razgrad!AK21+Voden!AK21</f>
        <v>32.479999999999997</v>
      </c>
      <c r="AL21" s="163">
        <f>Bujnovci!AL21+Elena!AL21+Bolqrka!AL21+Gorna!AL21+Svishtov!AL21+Rosica!AL21+Gabrovo!AL21+Plachkovci!AL21+Sevlievo!AL21+Bqla!AL21+Dunav_Ruse!AL21+Silistra!AL21+Tutrakan!AL21+Seslav!AL21+Karakuz!AL21+Razgrad!AL21+Voden!AL21</f>
        <v>2675</v>
      </c>
      <c r="AM21" s="163">
        <f>Bujnovci!AM21+Elena!AM21+Bolqrka!AM21+Gorna!AM21+Svishtov!AM21+Rosica!AM21+Gabrovo!AM21+Plachkovci!AM21+Sevlievo!AM21+Bqla!AM21+Dunav_Ruse!AM21+Silistra!AM21+Tutrakan!AM21+Seslav!AM21+Karakuz!AM21+Razgrad!AM21+Voden!AM21</f>
        <v>2507</v>
      </c>
      <c r="AN21" s="163">
        <f>Bujnovci!AN21+Elena!AN21+Bolqrka!AN21+Gorna!AN21+Svishtov!AN21+Rosica!AN21+Gabrovo!AN21+Plachkovci!AN21+Sevlievo!AN21+Bqla!AN21+Dunav_Ruse!AN21+Silistra!AN21+Tutrakan!AN21+Seslav!AN21+Karakuz!AN21+Razgrad!AN21+Voden!AN21</f>
        <v>473</v>
      </c>
      <c r="AO21" s="163">
        <f>Bujnovci!AO21+Elena!AO21+Bolqrka!AO21+Gorna!AO21+Svishtov!AO21+Rosica!AO21+Gabrovo!AO21+Plachkovci!AO21+Sevlievo!AO21+Bqla!AO21+Dunav_Ruse!AO21+Silistra!AO21+Tutrakan!AO21+Seslav!AO21+Karakuz!AO21+Razgrad!AO21+Voden!AO21</f>
        <v>183</v>
      </c>
      <c r="AP21" s="163">
        <f>Bujnovci!AP21+Elena!AP21+Bolqrka!AP21+Gorna!AP21+Svishtov!AP21+Rosica!AP21+Gabrovo!AP21+Plachkovci!AP21+Sevlievo!AP21+Bqla!AP21+Dunav_Ruse!AP21+Silistra!AP21+Tutrakan!AP21+Seslav!AP21+Karakuz!AP21+Razgrad!AP21+Voden!AP21</f>
        <v>30</v>
      </c>
      <c r="AQ21" s="163">
        <f>Bujnovci!AQ21+Elena!AQ21+Bolqrka!AQ21+Gorna!AQ21+Svishtov!AQ21+Rosica!AQ21+Gabrovo!AQ21+Plachkovci!AQ21+Sevlievo!AQ21+Bqla!AQ21+Dunav_Ruse!AQ21+Silistra!AQ21+Tutrakan!AQ21+Seslav!AQ21+Karakuz!AQ21+Razgrad!AQ21+Voden!AQ21</f>
        <v>1821</v>
      </c>
      <c r="AR21" s="164"/>
      <c r="AS21" s="164"/>
    </row>
    <row r="22" spans="1:45" ht="12">
      <c r="A22" s="172" t="s">
        <v>20</v>
      </c>
      <c r="B22" s="163">
        <f t="shared" ref="B22:H22" si="10">B21/B20*100</f>
        <v>87.267492313552111</v>
      </c>
      <c r="C22" s="163">
        <f t="shared" si="10"/>
        <v>86.87620914222785</v>
      </c>
      <c r="D22" s="163">
        <f t="shared" si="10"/>
        <v>90.93157235982774</v>
      </c>
      <c r="E22" s="163">
        <f t="shared" si="10"/>
        <v>101.0134128166915</v>
      </c>
      <c r="F22" s="163">
        <f t="shared" si="10"/>
        <v>55.810331155835826</v>
      </c>
      <c r="G22" s="163">
        <f t="shared" si="10"/>
        <v>51.285631577154923</v>
      </c>
      <c r="H22" s="163">
        <f t="shared" si="10"/>
        <v>105.74248476007453</v>
      </c>
      <c r="I22" s="164"/>
      <c r="J22" s="172" t="s">
        <v>20</v>
      </c>
      <c r="K22" s="163">
        <f t="shared" ref="K22:Q22" si="11">K21/K20*100</f>
        <v>79.653658595906649</v>
      </c>
      <c r="L22" s="163">
        <f t="shared" si="11"/>
        <v>86.914869686798426</v>
      </c>
      <c r="M22" s="163">
        <f t="shared" si="11"/>
        <v>95.171452317756504</v>
      </c>
      <c r="N22" s="163">
        <f t="shared" si="11"/>
        <v>99.778942714583465</v>
      </c>
      <c r="O22" s="163">
        <f t="shared" si="11"/>
        <v>51.274600449082023</v>
      </c>
      <c r="P22" s="163">
        <f t="shared" si="11"/>
        <v>29.64148973198747</v>
      </c>
      <c r="Q22" s="163">
        <f t="shared" si="11"/>
        <v>121.35154695132984</v>
      </c>
      <c r="R22" s="172" t="s">
        <v>20</v>
      </c>
      <c r="S22" s="163">
        <f t="shared" ref="S22:Y22" si="12">S21/S20*100</f>
        <v>94.056024199945085</v>
      </c>
      <c r="T22" s="163">
        <f t="shared" si="12"/>
        <v>88.58695652173914</v>
      </c>
      <c r="U22" s="163">
        <f t="shared" si="12"/>
        <v>91.55668850919632</v>
      </c>
      <c r="V22" s="163">
        <f t="shared" si="12"/>
        <v>101.15242885321595</v>
      </c>
      <c r="W22" s="163">
        <f t="shared" si="12"/>
        <v>57.478305257784577</v>
      </c>
      <c r="X22" s="163">
        <f t="shared" si="12"/>
        <v>60.054468005865779</v>
      </c>
      <c r="Y22" s="163">
        <f t="shared" si="12"/>
        <v>104.63458707000402</v>
      </c>
      <c r="Z22" s="164"/>
      <c r="AA22" s="172" t="s">
        <v>20</v>
      </c>
      <c r="AB22" s="163">
        <f t="shared" ref="AB22:AH22" si="13">AB21/AB20*100</f>
        <v>67.628865979381445</v>
      </c>
      <c r="AC22" s="163">
        <f t="shared" si="13"/>
        <v>78.540145077204457</v>
      </c>
      <c r="AD22" s="163">
        <f t="shared" si="13"/>
        <v>81.355656926575065</v>
      </c>
      <c r="AE22" s="163">
        <f t="shared" si="13"/>
        <v>86.94788286664263</v>
      </c>
      <c r="AF22" s="163">
        <f t="shared" si="13"/>
        <v>58.185902836281947</v>
      </c>
      <c r="AG22" s="163">
        <f t="shared" si="13"/>
        <v>69.865511739229547</v>
      </c>
      <c r="AH22" s="163">
        <f t="shared" si="13"/>
        <v>85.096981951621359</v>
      </c>
      <c r="AI22" s="171"/>
      <c r="AJ22" s="202" t="s">
        <v>20</v>
      </c>
      <c r="AK22" s="163">
        <f t="shared" ref="AK22:AQ22" si="14">AK21/AK20*100</f>
        <v>12.205937617437051</v>
      </c>
      <c r="AL22" s="163">
        <f t="shared" si="14"/>
        <v>22.394307241523652</v>
      </c>
      <c r="AM22" s="163">
        <f t="shared" si="14"/>
        <v>25.555555555555554</v>
      </c>
      <c r="AN22" s="163">
        <f t="shared" si="14"/>
        <v>98.541666666666671</v>
      </c>
      <c r="AO22" s="163">
        <f t="shared" si="14"/>
        <v>19.447396386822529</v>
      </c>
      <c r="AP22" s="163">
        <f t="shared" si="14"/>
        <v>4.2857142857142856</v>
      </c>
      <c r="AQ22" s="163">
        <f t="shared" si="14"/>
        <v>23.68318376902068</v>
      </c>
      <c r="AR22" s="164"/>
      <c r="AS22" s="164"/>
    </row>
    <row r="23" spans="1:45" ht="12">
      <c r="A23" s="162" t="s">
        <v>21</v>
      </c>
      <c r="B23" s="165">
        <f>Bujnovci!B23+Elena!B23+Bolqrka!B23+Gorna!B23+Svishtov!B23+Rosica!B23+Gabrovo!B23+Plachkovci!B23+Sevlievo!B23+Bqla!B23+Dunav_Ruse!B23+Silistra!B23+Tutrakan!B23+Seslav!B23+Karakuz!B23+Razgrad!B23+Voden!B23</f>
        <v>1664.76</v>
      </c>
      <c r="C23" s="163">
        <f>Bujnovci!C23+Elena!C23+Bolqrka!C23+Gorna!C23+Svishtov!C23+Rosica!C23+Gabrovo!C23+Plachkovci!C23+Sevlievo!C23+Bqla!C23+Dunav_Ruse!C23+Silistra!C23+Tutrakan!C23+Seslav!C23+Karakuz!C23+Razgrad!C23+Voden!C23</f>
        <v>100675</v>
      </c>
      <c r="D23" s="163">
        <f>Bujnovci!D23+Elena!D23+Bolqrka!D23+Gorna!D23+Svishtov!D23+Rosica!D23+Gabrovo!D23+Plachkovci!D23+Sevlievo!D23+Bqla!D23+Dunav_Ruse!D23+Silistra!D23+Tutrakan!D23+Seslav!D23+Karakuz!D23+Razgrad!D23+Voden!D23</f>
        <v>83355</v>
      </c>
      <c r="E23" s="163">
        <f>Bujnovci!E23+Elena!E23+Bolqrka!E23+Gorna!E23+Svishtov!E23+Rosica!E23+Gabrovo!E23+Plachkovci!E23+Sevlievo!E23+Bqla!E23+Dunav_Ruse!E23+Silistra!E23+Tutrakan!E23+Seslav!E23+Karakuz!E23+Razgrad!E23+Voden!E23</f>
        <v>21588</v>
      </c>
      <c r="F23" s="163">
        <f>Bujnovci!F23+Elena!F23+Bolqrka!F23+Gorna!F23+Svishtov!F23+Rosica!F23+Gabrovo!F23+Plachkovci!F23+Sevlievo!F23+Bqla!F23+Dunav_Ruse!F23+Silistra!F23+Tutrakan!F23+Seslav!F23+Karakuz!F23+Razgrad!F23+Voden!F23</f>
        <v>9529.5</v>
      </c>
      <c r="G23" s="163">
        <f>Bujnovci!G23+Elena!G23+Bolqrka!G23+Gorna!G23+Svishtov!G23+Rosica!G23+Gabrovo!G23+Plachkovci!G23+Sevlievo!G23+Bqla!G23+Dunav_Ruse!G23+Silistra!G23+Tutrakan!G23+Seslav!G23+Karakuz!G23+Razgrad!G23+Voden!G23</f>
        <v>3506</v>
      </c>
      <c r="H23" s="163">
        <f>Bujnovci!H23+Elena!H23+Bolqrka!H23+Gorna!H23+Svishtov!H23+Rosica!H23+Gabrovo!H23+Plachkovci!H23+Sevlievo!H23+Bqla!H23+Dunav_Ruse!H23+Silistra!H23+Tutrakan!H23+Seslav!H23+Karakuz!H23+Razgrad!H23+Voden!H23</f>
        <v>48547.5</v>
      </c>
      <c r="I23" s="164"/>
      <c r="J23" s="162" t="s">
        <v>21</v>
      </c>
      <c r="K23" s="165">
        <f>Bujnovci!K23+Elena!K23+Bolqrka!K23+Gorna!K23+Svishtov!K23+Rosica!K23+Gabrovo!K23+Plachkovci!K23+Sevlievo!K23+Bqla!K23+Dunav_Ruse!K23+Silistra!K23+Tutrakan!K23+Seslav!K23+Karakuz!K23+Razgrad!K23+Voden!K23</f>
        <v>838.25</v>
      </c>
      <c r="L23" s="163">
        <f>Bujnovci!L23+Elena!L23+Bolqrka!L23+Gorna!L23+Svishtov!L23+Rosica!L23+Gabrovo!L23+Plachkovci!L23+Sevlievo!L23+Bqla!L23+Dunav_Ruse!L23+Silistra!L23+Tutrakan!L23+Seslav!L23+Karakuz!L23+Razgrad!L23+Voden!L23</f>
        <v>36665.5</v>
      </c>
      <c r="M23" s="163">
        <f>Bujnovci!M23+Elena!M23+Bolqrka!M23+Gorna!M23+Svishtov!M23+Rosica!M23+Gabrovo!M23+Plachkovci!M23+Sevlievo!M23+Bqla!M23+Dunav_Ruse!M23+Silistra!M23+Tutrakan!M23+Seslav!M23+Karakuz!M23+Razgrad!M23+Voden!M23</f>
        <v>28597</v>
      </c>
      <c r="N23" s="163">
        <f>Bujnovci!N23+Elena!N23+Bolqrka!N23+Gorna!N23+Svishtov!N23+Rosica!N23+Gabrovo!N23+Plachkovci!N23+Sevlievo!N23+Bqla!N23+Dunav_Ruse!N23+Silistra!N23+Tutrakan!N23+Seslav!N23+Karakuz!N23+Razgrad!N23+Voden!N23</f>
        <v>2771</v>
      </c>
      <c r="O23" s="163">
        <f>Bujnovci!O23+Elena!O23+Bolqrka!O23+Gorna!O23+Svishtov!O23+Rosica!O23+Gabrovo!O23+Plachkovci!O23+Sevlievo!O23+Bqla!O23+Dunav_Ruse!O23+Silistra!O23+Tutrakan!O23+Seslav!O23+Karakuz!O23+Razgrad!O23+Voden!O23</f>
        <v>6030.5</v>
      </c>
      <c r="P23" s="163">
        <f>Bujnovci!P23+Elena!P23+Bolqrka!P23+Gorna!P23+Svishtov!P23+Rosica!P23+Gabrovo!P23+Plachkovci!P23+Sevlievo!P23+Bqla!P23+Dunav_Ruse!P23+Silistra!P23+Tutrakan!P23+Seslav!P23+Karakuz!P23+Razgrad!P23+Voden!P23</f>
        <v>2448</v>
      </c>
      <c r="Q23" s="163">
        <f>Bujnovci!Q23+Elena!Q23+Bolqrka!Q23+Gorna!Q23+Svishtov!Q23+Rosica!Q23+Gabrovo!Q23+Plachkovci!Q23+Sevlievo!Q23+Bqla!Q23+Dunav_Ruse!Q23+Silistra!Q23+Tutrakan!Q23+Seslav!Q23+Karakuz!Q23+Razgrad!Q23+Voden!Q23</f>
        <v>17208.5</v>
      </c>
      <c r="R23" s="162" t="s">
        <v>21</v>
      </c>
      <c r="S23" s="165">
        <f>Bujnovci!S23+Elena!S23+Bolqrka!S23+Gorna!S23+Svishtov!S23+Rosica!S23+Gabrovo!S23+Plachkovci!S23+Sevlievo!S23+Bqla!S23+Dunav_Ruse!S23+Silistra!S23+Tutrakan!S23+Seslav!S23+Karakuz!S23+Razgrad!S23+Voden!S23</f>
        <v>796.41</v>
      </c>
      <c r="T23" s="163">
        <f>Bujnovci!T23+Elena!T23+Bolqrka!T23+Gorna!T23+Svishtov!T23+Rosica!T23+Gabrovo!T23+Plachkovci!T23+Sevlievo!T23+Bqla!T23+Dunav_Ruse!T23+Silistra!T23+Tutrakan!T23+Seslav!T23+Karakuz!T23+Razgrad!T23+Voden!T23</f>
        <v>60261.5</v>
      </c>
      <c r="U23" s="163">
        <f>Bujnovci!U23+Elena!U23+Bolqrka!U23+Gorna!U23+Svishtov!U23+Rosica!U23+Gabrovo!U23+Plachkovci!U23+Sevlievo!U23+Bqla!U23+Dunav_Ruse!U23+Silistra!U23+Tutrakan!U23+Seslav!U23+Karakuz!U23+Razgrad!U23+Voden!U23</f>
        <v>51938</v>
      </c>
      <c r="V23" s="163">
        <f>Bujnovci!V23+Elena!V23+Bolqrka!V23+Gorna!V23+Svishtov!V23+Rosica!V23+Gabrovo!V23+Plachkovci!V23+Sevlievo!V23+Bqla!V23+Dunav_Ruse!V23+Silistra!V23+Tutrakan!V23+Seslav!V23+Karakuz!V23+Razgrad!V23+Voden!V23</f>
        <v>18549</v>
      </c>
      <c r="W23" s="163">
        <f>Bujnovci!W23+Elena!W23+Bolqrka!W23+Gorna!W23+Svishtov!W23+Rosica!W23+Gabrovo!W23+Plachkovci!W23+Sevlievo!W23+Bqla!W23+Dunav_Ruse!W23+Silistra!W23+Tutrakan!W23+Seslav!W23+Karakuz!W23+Razgrad!W23+Voden!W23</f>
        <v>3284</v>
      </c>
      <c r="X23" s="163">
        <f>Bujnovci!X23+Elena!X23+Bolqrka!X23+Gorna!X23+Svishtov!X23+Rosica!X23+Gabrovo!X23+Plachkovci!X23+Sevlievo!X23+Bqla!X23+Dunav_Ruse!X23+Silistra!X23+Tutrakan!X23+Seslav!X23+Karakuz!X23+Razgrad!X23+Voden!X23</f>
        <v>849</v>
      </c>
      <c r="Y23" s="163">
        <f>Bujnovci!Y23+Elena!Y23+Bolqrka!Y23+Gorna!Y23+Svishtov!Y23+Rosica!Y23+Gabrovo!Y23+Plachkovci!Y23+Sevlievo!Y23+Bqla!Y23+Dunav_Ruse!Y23+Silistra!Y23+Tutrakan!Y23+Seslav!Y23+Karakuz!Y23+Razgrad!Y23+Voden!Y23</f>
        <v>29211</v>
      </c>
      <c r="Z23" s="164"/>
      <c r="AA23" s="162" t="s">
        <v>21</v>
      </c>
      <c r="AB23" s="165">
        <f>Bujnovci!AB23+Elena!AB23+Bolqrka!AB23+Gorna!AB23+Svishtov!AB23+Rosica!AB23+Gabrovo!AB23+Plachkovci!AB23+Sevlievo!AB23+Bqla!AB23+Dunav_Ruse!AB23+Silistra!AB23+Tutrakan!AB23+Seslav!AB23+Karakuz!AB23+Razgrad!AB23+Voden!AB23</f>
        <v>736.43000000000006</v>
      </c>
      <c r="AC23" s="163">
        <f>Bujnovci!AC23+Elena!AC23+Bolqrka!AC23+Gorna!AC23+Svishtov!AC23+Rosica!AC23+Gabrovo!AC23+Plachkovci!AC23+Sevlievo!AC23+Bqla!AC23+Dunav_Ruse!AC23+Silistra!AC23+Tutrakan!AC23+Seslav!AC23+Karakuz!AC23+Razgrad!AC23+Voden!AC23</f>
        <v>56516.5</v>
      </c>
      <c r="AD23" s="163">
        <f>Bujnovci!AD23+Elena!AD23+Bolqrka!AD23+Gorna!AD23+Svishtov!AD23+Rosica!AD23+Gabrovo!AD23+Plachkovci!AD23+Sevlievo!AD23+Bqla!AD23+Dunav_Ruse!AD23+Silistra!AD23+Tutrakan!AD23+Seslav!AD23+Karakuz!AD23+Razgrad!AD23+Voden!AD23</f>
        <v>48700.5</v>
      </c>
      <c r="AE23" s="163">
        <f>Bujnovci!AE23+Elena!AE23+Bolqrka!AE23+Gorna!AE23+Svishtov!AE23+Rosica!AE23+Gabrovo!AE23+Plachkovci!AE23+Sevlievo!AE23+Bqla!AE23+Dunav_Ruse!AE23+Silistra!AE23+Tutrakan!AE23+Seslav!AE23+Karakuz!AE23+Razgrad!AE23+Voden!AE23</f>
        <v>18275</v>
      </c>
      <c r="AF23" s="163">
        <f>Bujnovci!AF23+Elena!AF23+Bolqrka!AF23+Gorna!AF23+Svishtov!AF23+Rosica!AF23+Gabrovo!AF23+Plachkovci!AF23+Sevlievo!AF23+Bqla!AF23+Dunav_Ruse!AF23+Silistra!AF23+Tutrakan!AF23+Seslav!AF23+Karakuz!AF23+Razgrad!AF23+Voden!AF23</f>
        <v>2819</v>
      </c>
      <c r="AG23" s="163">
        <f>Bujnovci!AG23+Elena!AG23+Bolqrka!AG23+Gorna!AG23+Svishtov!AG23+Rosica!AG23+Gabrovo!AG23+Plachkovci!AG23+Sevlievo!AG23+Bqla!AG23+Dunav_Ruse!AG23+Silistra!AG23+Tutrakan!AG23+Seslav!AG23+Karakuz!AG23+Razgrad!AG23+Voden!AG23</f>
        <v>785.5</v>
      </c>
      <c r="AH23" s="163">
        <f>Bujnovci!AH23+Elena!AH23+Bolqrka!AH23+Gorna!AH23+Svishtov!AH23+Rosica!AH23+Gabrovo!AH23+Plachkovci!AH23+Sevlievo!AH23+Bqla!AH23+Dunav_Ruse!AH23+Silistra!AH23+Tutrakan!AH23+Seslav!AH23+Karakuz!AH23+Razgrad!AH23+Voden!AH23</f>
        <v>26783.5</v>
      </c>
      <c r="AI23" s="168"/>
      <c r="AJ23" s="163" t="s">
        <v>21</v>
      </c>
      <c r="AK23" s="165">
        <f>Bujnovci!AK23+Elena!AK23+Bolqrka!AK23+Gorna!AK23+Svishtov!AK23+Rosica!AK23+Gabrovo!AK23+Plachkovci!AK23+Sevlievo!AK23+Bqla!AK23+Dunav_Ruse!AK23+Silistra!AK23+Tutrakan!AK23+Seslav!AK23+Karakuz!AK23+Razgrad!AK23+Voden!AK23</f>
        <v>30.1</v>
      </c>
      <c r="AL23" s="163">
        <f>Bujnovci!AL23+Elena!AL23+Bolqrka!AL23+Gorna!AL23+Svishtov!AL23+Rosica!AL23+Gabrovo!AL23+Plachkovci!AL23+Sevlievo!AL23+Bqla!AL23+Dunav_Ruse!AL23+Silistra!AL23+Tutrakan!AL23+Seslav!AL23+Karakuz!AL23+Razgrad!AL23+Voden!AL23</f>
        <v>3748</v>
      </c>
      <c r="AM23" s="163">
        <f>Bujnovci!AM23+Elena!AM23+Bolqrka!AM23+Gorna!AM23+Svishtov!AM23+Rosica!AM23+Gabrovo!AM23+Plachkovci!AM23+Sevlievo!AM23+Bqla!AM23+Dunav_Ruse!AM23+Silistra!AM23+Tutrakan!AM23+Seslav!AM23+Karakuz!AM23+Razgrad!AM23+Voden!AM23</f>
        <v>2820</v>
      </c>
      <c r="AN23" s="163">
        <f>Bujnovci!AN23+Elena!AN23+Bolqrka!AN23+Gorna!AN23+Svishtov!AN23+Rosica!AN23+Gabrovo!AN23+Plachkovci!AN23+Sevlievo!AN23+Bqla!AN23+Dunav_Ruse!AN23+Silistra!AN23+Tutrakan!AN23+Seslav!AN23+Karakuz!AN23+Razgrad!AN23+Voden!AN23</f>
        <v>268</v>
      </c>
      <c r="AO23" s="163">
        <f>Bujnovci!AO23+Elena!AO23+Bolqrka!AO23+Gorna!AO23+Svishtov!AO23+Rosica!AO23+Gabrovo!AO23+Plachkovci!AO23+Sevlievo!AO23+Bqla!AO23+Dunav_Ruse!AO23+Silistra!AO23+Tutrakan!AO23+Seslav!AO23+Karakuz!AO23+Razgrad!AO23+Voden!AO23</f>
        <v>215</v>
      </c>
      <c r="AP23" s="163">
        <f>Bujnovci!AP23+Elena!AP23+Bolqrka!AP23+Gorna!AP23+Svishtov!AP23+Rosica!AP23+Gabrovo!AP23+Plachkovci!AP23+Sevlievo!AP23+Bqla!AP23+Dunav_Ruse!AP23+Silistra!AP23+Tutrakan!AP23+Seslav!AP23+Karakuz!AP23+Razgrad!AP23+Voden!AP23</f>
        <v>209</v>
      </c>
      <c r="AQ23" s="163">
        <f>Bujnovci!AQ23+Elena!AQ23+Bolqrka!AQ23+Gorna!AQ23+Svishtov!AQ23+Rosica!AQ23+Gabrovo!AQ23+Plachkovci!AQ23+Sevlievo!AQ23+Bqla!AQ23+Dunav_Ruse!AQ23+Silistra!AQ23+Tutrakan!AQ23+Seslav!AQ23+Karakuz!AQ23+Razgrad!AQ23+Voden!AQ23</f>
        <v>2128</v>
      </c>
      <c r="AR23" s="164"/>
      <c r="AS23" s="164"/>
    </row>
    <row r="24" spans="1:45" ht="12">
      <c r="A24" s="162" t="s">
        <v>22</v>
      </c>
      <c r="B24" s="165">
        <f>Bujnovci!B24+Elena!B24+Bolqrka!B24+Gorna!B24+Svishtov!B24+Rosica!B24+Gabrovo!B24+Plachkovci!B24+Sevlievo!B24+Bqla!B24+Dunav_Ruse!B24+Silistra!B24+Tutrakan!B24+Seslav!B24+Karakuz!B24+Razgrad!B24+Voden!B24</f>
        <v>1172.8800000000001</v>
      </c>
      <c r="C24" s="163">
        <f>Bujnovci!C24+Elena!C24+Bolqrka!C24+Gorna!C24+Svishtov!C24+Rosica!C24+Gabrovo!C24+Plachkovci!C24+Sevlievo!C24+Bqla!C24+Dunav_Ruse!C24+Silistra!C24+Tutrakan!C24+Seslav!C24+Karakuz!C24+Razgrad!C24+Voden!C24</f>
        <v>59601</v>
      </c>
      <c r="D24" s="163">
        <f>Bujnovci!D24+Elena!D24+Bolqrka!D24+Gorna!D24+Svishtov!D24+Rosica!D24+Gabrovo!D24+Plachkovci!D24+Sevlievo!D24+Bqla!D24+Dunav_Ruse!D24+Silistra!D24+Tutrakan!D24+Seslav!D24+Karakuz!D24+Razgrad!D24+Voden!D24</f>
        <v>52808</v>
      </c>
      <c r="E24" s="163">
        <f>Bujnovci!E24+Elena!E24+Bolqrka!E24+Gorna!E24+Svishtov!E24+Rosica!E24+Gabrovo!E24+Plachkovci!E24+Sevlievo!E24+Bqla!E24+Dunav_Ruse!E24+Silistra!E24+Tutrakan!E24+Seslav!E24+Karakuz!E24+Razgrad!E24+Voden!E24</f>
        <v>11562</v>
      </c>
      <c r="F24" s="163">
        <f>Bujnovci!F24+Elena!F24+Bolqrka!F24+Gorna!F24+Svishtov!F24+Rosica!F24+Gabrovo!F24+Plachkovci!F24+Sevlievo!F24+Bqla!F24+Dunav_Ruse!F24+Silistra!F24+Tutrakan!F24+Seslav!F24+Karakuz!F24+Razgrad!F24+Voden!F24</f>
        <v>4160</v>
      </c>
      <c r="G24" s="163">
        <f>Bujnovci!G24+Elena!G24+Bolqrka!G24+Gorna!G24+Svishtov!G24+Rosica!G24+Gabrovo!G24+Plachkovci!G24+Sevlievo!G24+Bqla!G24+Dunav_Ruse!G24+Silistra!G24+Tutrakan!G24+Seslav!G24+Karakuz!G24+Razgrad!G24+Voden!G24</f>
        <v>693</v>
      </c>
      <c r="H24" s="163">
        <f>Bujnovci!H24+Elena!H24+Bolqrka!H24+Gorna!H24+Svishtov!H24+Rosica!H24+Gabrovo!H24+Plachkovci!H24+Sevlievo!H24+Bqla!H24+Dunav_Ruse!H24+Silistra!H24+Tutrakan!H24+Seslav!H24+Karakuz!H24+Razgrad!H24+Voden!H24</f>
        <v>36393</v>
      </c>
      <c r="I24" s="164"/>
      <c r="J24" s="162" t="s">
        <v>22</v>
      </c>
      <c r="K24" s="165">
        <f>Bujnovci!K24+Elena!K24+Bolqrka!K24+Gorna!K24+Svishtov!K24+Rosica!K24+Gabrovo!K24+Plachkovci!K24+Sevlievo!K24+Bqla!K24+Dunav_Ruse!K24+Silistra!K24+Tutrakan!K24+Seslav!K24+Karakuz!K24+Razgrad!K24+Voden!K24</f>
        <v>604.1</v>
      </c>
      <c r="L24" s="163">
        <f>Bujnovci!L24+Elena!L24+Bolqrka!L24+Gorna!L24+Svishtov!L24+Rosica!L24+Gabrovo!L24+Plachkovci!L24+Sevlievo!L24+Bqla!L24+Dunav_Ruse!L24+Silistra!L24+Tutrakan!L24+Seslav!L24+Karakuz!L24+Razgrad!L24+Voden!L24</f>
        <v>22415</v>
      </c>
      <c r="M24" s="163">
        <f>Bujnovci!M24+Elena!M24+Bolqrka!M24+Gorna!M24+Svishtov!M24+Rosica!M24+Gabrovo!M24+Plachkovci!M24+Sevlievo!M24+Bqla!M24+Dunav_Ruse!M24+Silistra!M24+Tutrakan!M24+Seslav!M24+Karakuz!M24+Razgrad!M24+Voden!M24</f>
        <v>20149</v>
      </c>
      <c r="N24" s="163">
        <f>Bujnovci!N24+Elena!N24+Bolqrka!N24+Gorna!N24+Svishtov!N24+Rosica!N24+Gabrovo!N24+Plachkovci!N24+Sevlievo!N24+Bqla!N24+Dunav_Ruse!N24+Silistra!N24+Tutrakan!N24+Seslav!N24+Karakuz!N24+Razgrad!N24+Voden!N24</f>
        <v>1557</v>
      </c>
      <c r="O24" s="163">
        <f>Bujnovci!O24+Elena!O24+Bolqrka!O24+Gorna!O24+Svishtov!O24+Rosica!O24+Gabrovo!O24+Plachkovci!O24+Sevlievo!O24+Bqla!O24+Dunav_Ruse!O24+Silistra!O24+Tutrakan!O24+Seslav!O24+Karakuz!O24+Razgrad!O24+Voden!O24</f>
        <v>2231</v>
      </c>
      <c r="P24" s="163">
        <f>Bujnovci!P24+Elena!P24+Bolqrka!P24+Gorna!P24+Svishtov!P24+Rosica!P24+Gabrovo!P24+Plachkovci!P24+Sevlievo!P24+Bqla!P24+Dunav_Ruse!P24+Silistra!P24+Tutrakan!P24+Seslav!P24+Karakuz!P24+Razgrad!P24+Voden!P24</f>
        <v>223</v>
      </c>
      <c r="Q24" s="163">
        <f>Bujnovci!Q24+Elena!Q24+Bolqrka!Q24+Gorna!Q24+Svishtov!Q24+Rosica!Q24+Gabrovo!Q24+Plachkovci!Q24+Sevlievo!Q24+Bqla!Q24+Dunav_Ruse!Q24+Silistra!Q24+Tutrakan!Q24+Seslav!Q24+Karakuz!Q24+Razgrad!Q24+Voden!Q24</f>
        <v>16138</v>
      </c>
      <c r="R24" s="162" t="s">
        <v>22</v>
      </c>
      <c r="S24" s="165">
        <f>Bujnovci!S24+Elena!S24+Bolqrka!S24+Gorna!S24+Svishtov!S24+Rosica!S24+Gabrovo!S24+Plachkovci!S24+Sevlievo!S24+Bqla!S24+Dunav_Ruse!S24+Silistra!S24+Tutrakan!S24+Seslav!S24+Karakuz!S24+Razgrad!S24+Voden!S24</f>
        <v>568.30000000000007</v>
      </c>
      <c r="T24" s="163">
        <f>Bujnovci!T24+Elena!T24+Bolqrka!T24+Gorna!T24+Svishtov!T24+Rosica!T24+Gabrovo!T24+Plachkovci!T24+Sevlievo!T24+Bqla!T24+Dunav_Ruse!T24+Silistra!T24+Tutrakan!T24+Seslav!T24+Karakuz!T24+Razgrad!T24+Voden!T24</f>
        <v>36985</v>
      </c>
      <c r="U24" s="163">
        <f>Bujnovci!U24+Elena!U24+Bolqrka!U24+Gorna!U24+Svishtov!U24+Rosica!U24+Gabrovo!U24+Plachkovci!U24+Sevlievo!U24+Bqla!U24+Dunav_Ruse!U24+Silistra!U24+Tutrakan!U24+Seslav!U24+Karakuz!U24+Razgrad!U24+Voden!U24</f>
        <v>32471</v>
      </c>
      <c r="V24" s="163">
        <f>Bujnovci!V24+Elena!V24+Bolqrka!V24+Gorna!V24+Svishtov!V24+Rosica!V24+Gabrovo!V24+Plachkovci!V24+Sevlievo!V24+Bqla!V24+Dunav_Ruse!V24+Silistra!V24+Tutrakan!V24+Seslav!V24+Karakuz!V24+Razgrad!V24+Voden!V24</f>
        <v>10005</v>
      </c>
      <c r="W24" s="163">
        <f>Bujnovci!W24+Elena!W24+Bolqrka!W24+Gorna!W24+Svishtov!W24+Rosica!W24+Gabrovo!W24+Plachkovci!W24+Sevlievo!W24+Bqla!W24+Dunav_Ruse!W24+Silistra!W24+Tutrakan!W24+Seslav!W24+Karakuz!W24+Razgrad!W24+Voden!W24</f>
        <v>1929</v>
      </c>
      <c r="X24" s="163">
        <f>Bujnovci!X24+Elena!X24+Bolqrka!X24+Gorna!X24+Svishtov!X24+Rosica!X24+Gabrovo!X24+Plachkovci!X24+Sevlievo!X24+Bqla!X24+Dunav_Ruse!X24+Silistra!X24+Tutrakan!X24+Seslav!X24+Karakuz!X24+Razgrad!X24+Voden!X24</f>
        <v>468</v>
      </c>
      <c r="Y24" s="163">
        <f>Bujnovci!Y24+Elena!Y24+Bolqrka!Y24+Gorna!Y24+Svishtov!Y24+Rosica!Y24+Gabrovo!Y24+Plachkovci!Y24+Sevlievo!Y24+Bqla!Y24+Dunav_Ruse!Y24+Silistra!Y24+Tutrakan!Y24+Seslav!Y24+Karakuz!Y24+Razgrad!Y24+Voden!Y24</f>
        <v>20069</v>
      </c>
      <c r="Z24" s="164"/>
      <c r="AA24" s="162" t="s">
        <v>22</v>
      </c>
      <c r="AB24" s="165">
        <f>Bujnovci!AB24+Elena!AB24+Bolqrka!AB24+Gorna!AB24+Svishtov!AB24+Rosica!AB24+Gabrovo!AB24+Plachkovci!AB24+Sevlievo!AB24+Bqla!AB24+Dunav_Ruse!AB24+Silistra!AB24+Tutrakan!AB24+Seslav!AB24+Karakuz!AB24+Razgrad!AB24+Voden!AB24</f>
        <v>439.20000000000005</v>
      </c>
      <c r="AC24" s="163">
        <f>Bujnovci!AC24+Elena!AC24+Bolqrka!AC24+Gorna!AC24+Svishtov!AC24+Rosica!AC24+Gabrovo!AC24+Plachkovci!AC24+Sevlievo!AC24+Bqla!AC24+Dunav_Ruse!AC24+Silistra!AC24+Tutrakan!AC24+Seslav!AC24+Karakuz!AC24+Razgrad!AC24+Voden!AC24</f>
        <v>32031</v>
      </c>
      <c r="AD24" s="163">
        <f>Bujnovci!AD24+Elena!AD24+Bolqrka!AD24+Gorna!AD24+Svishtov!AD24+Rosica!AD24+Gabrovo!AD24+Plachkovci!AD24+Sevlievo!AD24+Bqla!AD24+Dunav_Ruse!AD24+Silistra!AD24+Tutrakan!AD24+Seslav!AD24+Karakuz!AD24+Razgrad!AD24+Voden!AD24</f>
        <v>28197</v>
      </c>
      <c r="AE24" s="163">
        <f>Bujnovci!AE24+Elena!AE24+Bolqrka!AE24+Gorna!AE24+Svishtov!AE24+Rosica!AE24+Gabrovo!AE24+Plachkovci!AE24+Sevlievo!AE24+Bqla!AE24+Dunav_Ruse!AE24+Silistra!AE24+Tutrakan!AE24+Seslav!AE24+Karakuz!AE24+Razgrad!AE24+Voden!AE24</f>
        <v>9559</v>
      </c>
      <c r="AF24" s="163">
        <f>Bujnovci!AF24+Elena!AF24+Bolqrka!AF24+Gorna!AF24+Svishtov!AF24+Rosica!AF24+Gabrovo!AF24+Plachkovci!AF24+Sevlievo!AF24+Bqla!AF24+Dunav_Ruse!AF24+Silistra!AF24+Tutrakan!AF24+Seslav!AF24+Karakuz!AF24+Razgrad!AF24+Voden!AF24</f>
        <v>1674</v>
      </c>
      <c r="AG24" s="163">
        <f>Bujnovci!AG24+Elena!AG24+Bolqrka!AG24+Gorna!AG24+Svishtov!AG24+Rosica!AG24+Gabrovo!AG24+Plachkovci!AG24+Sevlievo!AG24+Bqla!AG24+Dunav_Ruse!AG24+Silistra!AG24+Tutrakan!AG24+Seslav!AG24+Karakuz!AG24+Razgrad!AG24+Voden!AG24</f>
        <v>457</v>
      </c>
      <c r="AH24" s="163">
        <f>Bujnovci!AH24+Elena!AH24+Bolqrka!AH24+Gorna!AH24+Svishtov!AH24+Rosica!AH24+Gabrovo!AH24+Plachkovci!AH24+Sevlievo!AH24+Bqla!AH24+Dunav_Ruse!AH24+Silistra!AH24+Tutrakan!AH24+Seslav!AH24+Karakuz!AH24+Razgrad!AH24+Voden!AH24</f>
        <v>16507</v>
      </c>
      <c r="AI24" s="168"/>
      <c r="AJ24" s="163" t="s">
        <v>22</v>
      </c>
      <c r="AK24" s="165">
        <f>Bujnovci!AK24+Elena!AK24+Bolqrka!AK24+Gorna!AK24+Svishtov!AK24+Rosica!AK24+Gabrovo!AK24+Plachkovci!AK24+Sevlievo!AK24+Bqla!AK24+Dunav_Ruse!AK24+Silistra!AK24+Tutrakan!AK24+Seslav!AK24+Karakuz!AK24+Razgrad!AK24+Voden!AK24</f>
        <v>0.48</v>
      </c>
      <c r="AL24" s="163">
        <f>Bujnovci!AL24+Elena!AL24+Bolqrka!AL24+Gorna!AL24+Svishtov!AL24+Rosica!AL24+Gabrovo!AL24+Plachkovci!AL24+Sevlievo!AL24+Bqla!AL24+Dunav_Ruse!AL24+Silistra!AL24+Tutrakan!AL24+Seslav!AL24+Karakuz!AL24+Razgrad!AL24+Voden!AL24</f>
        <v>201</v>
      </c>
      <c r="AM24" s="163">
        <f>Bujnovci!AM24+Elena!AM24+Bolqrka!AM24+Gorna!AM24+Svishtov!AM24+Rosica!AM24+Gabrovo!AM24+Plachkovci!AM24+Sevlievo!AM24+Bqla!AM24+Dunav_Ruse!AM24+Silistra!AM24+Tutrakan!AM24+Seslav!AM24+Karakuz!AM24+Razgrad!AM24+Voden!AM24</f>
        <v>188</v>
      </c>
      <c r="AN24" s="163">
        <f>Bujnovci!AN24+Elena!AN24+Bolqrka!AN24+Gorna!AN24+Svishtov!AN24+Rosica!AN24+Gabrovo!AN24+Plachkovci!AN24+Sevlievo!AN24+Bqla!AN24+Dunav_Ruse!AN24+Silistra!AN24+Tutrakan!AN24+Seslav!AN24+Karakuz!AN24+Razgrad!AN24+Voden!AN24</f>
        <v>0</v>
      </c>
      <c r="AO24" s="163">
        <f>Bujnovci!AO24+Elena!AO24+Bolqrka!AO24+Gorna!AO24+Svishtov!AO24+Rosica!AO24+Gabrovo!AO24+Plachkovci!AO24+Sevlievo!AO24+Bqla!AO24+Dunav_Ruse!AO24+Silistra!AO24+Tutrakan!AO24+Seslav!AO24+Karakuz!AO24+Razgrad!AO24+Voden!AO24</f>
        <v>0</v>
      </c>
      <c r="AP24" s="163">
        <f>Bujnovci!AP24+Elena!AP24+Bolqrka!AP24+Gorna!AP24+Svishtov!AP24+Rosica!AP24+Gabrovo!AP24+Plachkovci!AP24+Sevlievo!AP24+Bqla!AP24+Dunav_Ruse!AP24+Silistra!AP24+Tutrakan!AP24+Seslav!AP24+Karakuz!AP24+Razgrad!AP24+Voden!AP24</f>
        <v>2</v>
      </c>
      <c r="AQ24" s="163">
        <f>Bujnovci!AQ24+Elena!AQ24+Bolqrka!AQ24+Gorna!AQ24+Svishtov!AQ24+Rosica!AQ24+Gabrovo!AQ24+Plachkovci!AQ24+Sevlievo!AQ24+Bqla!AQ24+Dunav_Ruse!AQ24+Silistra!AQ24+Tutrakan!AQ24+Seslav!AQ24+Karakuz!AQ24+Razgrad!AQ24+Voden!AQ24</f>
        <v>186</v>
      </c>
      <c r="AR24" s="164"/>
      <c r="AS24" s="164"/>
    </row>
    <row r="25" spans="1:45" ht="12">
      <c r="A25" s="162" t="s">
        <v>12</v>
      </c>
      <c r="B25" s="163">
        <f t="shared" ref="B25:H25" si="15">B24/B23*100</f>
        <v>70.453398688099185</v>
      </c>
      <c r="C25" s="163">
        <f t="shared" si="15"/>
        <v>59.20139061335982</v>
      </c>
      <c r="D25" s="163">
        <f t="shared" si="15"/>
        <v>63.353128186671469</v>
      </c>
      <c r="E25" s="163">
        <f t="shared" si="15"/>
        <v>53.557531962201224</v>
      </c>
      <c r="F25" s="163">
        <f t="shared" si="15"/>
        <v>43.653916784721133</v>
      </c>
      <c r="G25" s="163">
        <f t="shared" si="15"/>
        <v>19.766115231032515</v>
      </c>
      <c r="H25" s="163">
        <f t="shared" si="15"/>
        <v>74.963695349915028</v>
      </c>
      <c r="I25" s="164"/>
      <c r="J25" s="162" t="s">
        <v>12</v>
      </c>
      <c r="K25" s="163">
        <f t="shared" ref="K25:Q25" si="16">K24/K23*100</f>
        <v>72.066805845511482</v>
      </c>
      <c r="L25" s="163">
        <f t="shared" si="16"/>
        <v>61.133763347015588</v>
      </c>
      <c r="M25" s="163">
        <f t="shared" si="16"/>
        <v>70.458439696471657</v>
      </c>
      <c r="N25" s="163">
        <f t="shared" si="16"/>
        <v>56.189101407434137</v>
      </c>
      <c r="O25" s="163">
        <f t="shared" si="16"/>
        <v>36.995274023712795</v>
      </c>
      <c r="P25" s="163">
        <f t="shared" si="16"/>
        <v>9.1094771241830053</v>
      </c>
      <c r="Q25" s="163">
        <f t="shared" si="16"/>
        <v>93.779237004968479</v>
      </c>
      <c r="R25" s="162" t="s">
        <v>12</v>
      </c>
      <c r="S25" s="163">
        <f t="shared" ref="S25:Y25" si="17">S24/S23*100</f>
        <v>71.357717758441026</v>
      </c>
      <c r="T25" s="163">
        <f t="shared" si="17"/>
        <v>61.374177542875628</v>
      </c>
      <c r="U25" s="163">
        <f t="shared" si="17"/>
        <v>62.518772382456</v>
      </c>
      <c r="V25" s="163">
        <f t="shared" si="17"/>
        <v>53.938217693676208</v>
      </c>
      <c r="W25" s="163">
        <f t="shared" si="17"/>
        <v>58.739342265529835</v>
      </c>
      <c r="X25" s="163">
        <f t="shared" si="17"/>
        <v>55.123674911660778</v>
      </c>
      <c r="Y25" s="163">
        <f t="shared" si="17"/>
        <v>68.703570572729461</v>
      </c>
      <c r="Z25" s="164"/>
      <c r="AA25" s="162" t="s">
        <v>12</v>
      </c>
      <c r="AB25" s="163">
        <f t="shared" ref="AB25:AH25" si="18">AB24/AB23*100</f>
        <v>59.639069565335468</v>
      </c>
      <c r="AC25" s="163">
        <f t="shared" si="18"/>
        <v>56.67548415064627</v>
      </c>
      <c r="AD25" s="163">
        <f t="shared" si="18"/>
        <v>57.898789540148456</v>
      </c>
      <c r="AE25" s="163">
        <f t="shared" si="18"/>
        <v>52.306429548563614</v>
      </c>
      <c r="AF25" s="163">
        <f t="shared" si="18"/>
        <v>59.382759843916276</v>
      </c>
      <c r="AG25" s="163">
        <f t="shared" si="18"/>
        <v>58.179503500954809</v>
      </c>
      <c r="AH25" s="163">
        <f t="shared" si="18"/>
        <v>61.631228181529671</v>
      </c>
      <c r="AI25" s="171"/>
      <c r="AJ25" s="202" t="s">
        <v>12</v>
      </c>
      <c r="AK25" s="163">
        <f t="shared" ref="AK25:AQ25" si="19">AK24/AK23*100</f>
        <v>1.5946843853820596</v>
      </c>
      <c r="AL25" s="163">
        <f t="shared" si="19"/>
        <v>5.3628601921024543</v>
      </c>
      <c r="AM25" s="163">
        <f t="shared" si="19"/>
        <v>6.666666666666667</v>
      </c>
      <c r="AN25" s="163">
        <f t="shared" si="19"/>
        <v>0</v>
      </c>
      <c r="AO25" s="163">
        <f t="shared" si="19"/>
        <v>0</v>
      </c>
      <c r="AP25" s="163">
        <f t="shared" si="19"/>
        <v>0.9569377990430622</v>
      </c>
      <c r="AQ25" s="163">
        <f t="shared" si="19"/>
        <v>8.7406015037593985</v>
      </c>
      <c r="AR25" s="164"/>
      <c r="AS25" s="164"/>
    </row>
    <row r="26" spans="1:45" ht="12">
      <c r="A26" s="162" t="s">
        <v>23</v>
      </c>
      <c r="B26" s="165">
        <f>Bujnovci!B26+Elena!B26+Bolqrka!B26+Gorna!B26+Svishtov!B26+Rosica!B26+Gabrovo!B26+Plachkovci!B26+Sevlievo!B26+Bqla!B26+Dunav_Ruse!B26+Silistra!B26+Tutrakan!B26+Seslav!B26+Karakuz!B26+Razgrad!B26+Voden!B26</f>
        <v>1031</v>
      </c>
      <c r="C26" s="163">
        <f>Bujnovci!C26+Elena!C26+Bolqrka!C26+Gorna!C26+Svishtov!C26+Rosica!C26+Gabrovo!C26+Plachkovci!C26+Sevlievo!C26+Bqla!C26+Dunav_Ruse!C26+Silistra!C26+Tutrakan!C26+Seslav!C26+Karakuz!C26+Razgrad!C26+Voden!C26</f>
        <v>41439</v>
      </c>
      <c r="D26" s="163">
        <f>Bujnovci!D26+Elena!D26+Bolqrka!D26+Gorna!D26+Svishtov!D26+Rosica!D26+Gabrovo!D26+Plachkovci!D26+Sevlievo!D26+Bqla!D26+Dunav_Ruse!D26+Silistra!D26+Tutrakan!D26+Seslav!D26+Karakuz!D26+Razgrad!D26+Voden!D26</f>
        <v>36175.5</v>
      </c>
      <c r="E26" s="163">
        <f>Bujnovci!E26+Elena!E26+Bolqrka!E26+Gorna!E26+Svishtov!E26+Rosica!E26+Gabrovo!E26+Plachkovci!E26+Sevlievo!E26+Bqla!E26+Dunav_Ruse!E26+Silistra!E26+Tutrakan!E26+Seslav!E26+Karakuz!E26+Razgrad!E26+Voden!E26</f>
        <v>3511.5</v>
      </c>
      <c r="F26" s="163">
        <f>Bujnovci!F26+Elena!F26+Bolqrka!F26+Gorna!F26+Svishtov!F26+Rosica!F26+Gabrovo!F26+Plachkovci!F26+Sevlievo!F26+Bqla!F26+Dunav_Ruse!F26+Silistra!F26+Tutrakan!F26+Seslav!F26+Karakuz!F26+Razgrad!F26+Voden!F26</f>
        <v>7411</v>
      </c>
      <c r="G26" s="163">
        <f>Bujnovci!G26+Elena!G26+Bolqrka!G26+Gorna!G26+Svishtov!G26+Rosica!G26+Gabrovo!G26+Plachkovci!G26+Sevlievo!G26+Bqla!G26+Dunav_Ruse!G26+Silistra!G26+Tutrakan!G26+Seslav!G26+Karakuz!G26+Razgrad!G26+Voden!G26</f>
        <v>1692.5</v>
      </c>
      <c r="H26" s="163">
        <f>Bujnovci!H26+Elena!H26+Bolqrka!H26+Gorna!H26+Svishtov!H26+Rosica!H26+Gabrovo!H26+Plachkovci!H26+Sevlievo!H26+Bqla!H26+Dunav_Ruse!H26+Silistra!H26+Tutrakan!H26+Seslav!H26+Karakuz!H26+Razgrad!H26+Voden!H26</f>
        <v>23537.5</v>
      </c>
      <c r="I26" s="164"/>
      <c r="J26" s="162" t="s">
        <v>23</v>
      </c>
      <c r="K26" s="165">
        <f>Bujnovci!K26+Elena!K26+Bolqrka!K26+Gorna!K26+Svishtov!K26+Rosica!K26+Gabrovo!K26+Plachkovci!K26+Sevlievo!K26+Bqla!K26+Dunav_Ruse!K26+Silistra!K26+Tutrakan!K26+Seslav!K26+Karakuz!K26+Razgrad!K26+Voden!K26</f>
        <v>313.19</v>
      </c>
      <c r="L26" s="163">
        <f>Bujnovci!L26+Elena!L26+Bolqrka!L26+Gorna!L26+Svishtov!L26+Rosica!L26+Gabrovo!L26+Plachkovci!L26+Sevlievo!L26+Bqla!L26+Dunav_Ruse!L26+Silistra!L26+Tutrakan!L26+Seslav!L26+Karakuz!L26+Razgrad!L26+Voden!L26</f>
        <v>10852</v>
      </c>
      <c r="M26" s="163">
        <f>Bujnovci!M26+Elena!M26+Bolqrka!M26+Gorna!M26+Svishtov!M26+Rosica!M26+Gabrovo!M26+Plachkovci!M26+Sevlievo!M26+Bqla!M26+Dunav_Ruse!M26+Silistra!M26+Tutrakan!M26+Seslav!M26+Karakuz!M26+Razgrad!M26+Voden!M26</f>
        <v>9027</v>
      </c>
      <c r="N26" s="163">
        <f>Bujnovci!N26+Elena!N26+Bolqrka!N26+Gorna!N26+Svishtov!N26+Rosica!N26+Gabrovo!N26+Plachkovci!N26+Sevlievo!N26+Bqla!N26+Dunav_Ruse!N26+Silistra!N26+Tutrakan!N26+Seslav!N26+Karakuz!N26+Razgrad!N26+Voden!N26</f>
        <v>656</v>
      </c>
      <c r="O26" s="163">
        <f>Bujnovci!O26+Elena!O26+Bolqrka!O26+Gorna!O26+Svishtov!O26+Rosica!O26+Gabrovo!O26+Plachkovci!O26+Sevlievo!O26+Bqla!O26+Dunav_Ruse!O26+Silistra!O26+Tutrakan!O26+Seslav!O26+Karakuz!O26+Razgrad!O26+Voden!O26</f>
        <v>2076.5</v>
      </c>
      <c r="P26" s="163">
        <f>Bujnovci!P26+Elena!P26+Bolqrka!P26+Gorna!P26+Svishtov!P26+Rosica!P26+Gabrovo!P26+Plachkovci!P26+Sevlievo!P26+Bqla!P26+Dunav_Ruse!P26+Silistra!P26+Tutrakan!P26+Seslav!P26+Karakuz!P26+Razgrad!P26+Voden!P26</f>
        <v>471</v>
      </c>
      <c r="Q26" s="163">
        <f>Bujnovci!Q26+Elena!Q26+Bolqrka!Q26+Gorna!Q26+Svishtov!Q26+Rosica!Q26+Gabrovo!Q26+Plachkovci!Q26+Sevlievo!Q26+Bqla!Q26+Dunav_Ruse!Q26+Silistra!Q26+Tutrakan!Q26+Seslav!Q26+Karakuz!Q26+Razgrad!Q26+Voden!Q26</f>
        <v>5819.5</v>
      </c>
      <c r="R26" s="162" t="s">
        <v>23</v>
      </c>
      <c r="S26" s="165">
        <f>Bujnovci!S26+Elena!S26+Bolqrka!S26+Gorna!S26+Svishtov!S26+Rosica!S26+Gabrovo!S26+Plachkovci!S26+Sevlievo!S26+Bqla!S26+Dunav_Ruse!S26+Silistra!S26+Tutrakan!S26+Seslav!S26+Karakuz!S26+Razgrad!S26+Voden!S26</f>
        <v>689.41000000000008</v>
      </c>
      <c r="T26" s="163">
        <f>Bujnovci!T26+Elena!T26+Bolqrka!T26+Gorna!T26+Svishtov!T26+Rosica!T26+Gabrovo!T26+Plachkovci!T26+Sevlievo!T26+Bqla!T26+Dunav_Ruse!T26+Silistra!T26+Tutrakan!T26+Seslav!T26+Karakuz!T26+Razgrad!T26+Voden!T26</f>
        <v>28962</v>
      </c>
      <c r="U26" s="163">
        <f>Bujnovci!U26+Elena!U26+Bolqrka!U26+Gorna!U26+Svishtov!U26+Rosica!U26+Gabrovo!U26+Plachkovci!U26+Sevlievo!U26+Bqla!U26+Dunav_Ruse!U26+Silistra!U26+Tutrakan!U26+Seslav!U26+Karakuz!U26+Razgrad!U26+Voden!U26</f>
        <v>25725.5</v>
      </c>
      <c r="V26" s="163">
        <f>Bujnovci!V26+Elena!V26+Bolqrka!V26+Gorna!V26+Svishtov!V26+Rosica!V26+Gabrovo!V26+Plachkovci!V26+Sevlievo!V26+Bqla!V26+Dunav_Ruse!V26+Silistra!V26+Tutrakan!V26+Seslav!V26+Karakuz!V26+Razgrad!V26+Voden!V26</f>
        <v>2837.5</v>
      </c>
      <c r="W26" s="163">
        <f>Bujnovci!W26+Elena!W26+Bolqrka!W26+Gorna!W26+Svishtov!W26+Rosica!W26+Gabrovo!W26+Plachkovci!W26+Sevlievo!W26+Bqla!W26+Dunav_Ruse!W26+Silistra!W26+Tutrakan!W26+Seslav!W26+Karakuz!W26+Razgrad!W26+Voden!W26</f>
        <v>5272.5</v>
      </c>
      <c r="X26" s="163">
        <f>Bujnovci!X26+Elena!X26+Bolqrka!X26+Gorna!X26+Svishtov!X26+Rosica!X26+Gabrovo!X26+Plachkovci!X26+Sevlievo!X26+Bqla!X26+Dunav_Ruse!X26+Silistra!X26+Tutrakan!X26+Seslav!X26+Karakuz!X26+Razgrad!X26+Voden!X26</f>
        <v>1189.5</v>
      </c>
      <c r="Y26" s="163">
        <f>Bujnovci!Y26+Elena!Y26+Bolqrka!Y26+Gorna!Y26+Svishtov!Y26+Rosica!Y26+Gabrovo!Y26+Plachkovci!Y26+Sevlievo!Y26+Bqla!Y26+Dunav_Ruse!Y26+Silistra!Y26+Tutrakan!Y26+Seslav!Y26+Karakuz!Y26+Razgrad!Y26+Voden!Y26</f>
        <v>16408</v>
      </c>
      <c r="Z26" s="164"/>
      <c r="AA26" s="162" t="s">
        <v>23</v>
      </c>
      <c r="AB26" s="165">
        <f>Bujnovci!AB26+Elena!AB26+Bolqrka!AB26+Gorna!AB26+Svishtov!AB26+Rosica!AB26+Gabrovo!AB26+Plachkovci!AB26+Sevlievo!AB26+Bqla!AB26+Dunav_Ruse!AB26+Silistra!AB26+Tutrakan!AB26+Seslav!AB26+Karakuz!AB26+Razgrad!AB26+Voden!AB26</f>
        <v>149.31</v>
      </c>
      <c r="AC26" s="163">
        <f>Bujnovci!AC26+Elena!AC26+Bolqrka!AC26+Gorna!AC26+Svishtov!AC26+Rosica!AC26+Gabrovo!AC26+Plachkovci!AC26+Sevlievo!AC26+Bqla!AC26+Dunav_Ruse!AC26+Silistra!AC26+Tutrakan!AC26+Seslav!AC26+Karakuz!AC26+Razgrad!AC26+Voden!AC26</f>
        <v>5960.5</v>
      </c>
      <c r="AD26" s="163">
        <f>Bujnovci!AD26+Elena!AD26+Bolqrka!AD26+Gorna!AD26+Svishtov!AD26+Rosica!AD26+Gabrovo!AD26+Plachkovci!AD26+Sevlievo!AD26+Bqla!AD26+Dunav_Ruse!AD26+Silistra!AD26+Tutrakan!AD26+Seslav!AD26+Karakuz!AD26+Razgrad!AD26+Voden!AD26</f>
        <v>5442</v>
      </c>
      <c r="AE26" s="163">
        <f>Bujnovci!AE26+Elena!AE26+Bolqrka!AE26+Gorna!AE26+Svishtov!AE26+Rosica!AE26+Gabrovo!AE26+Plachkovci!AE26+Sevlievo!AE26+Bqla!AE26+Dunav_Ruse!AE26+Silistra!AE26+Tutrakan!AE26+Seslav!AE26+Karakuz!AE26+Razgrad!AE26+Voden!AE26</f>
        <v>1711.5</v>
      </c>
      <c r="AF26" s="163">
        <f>Bujnovci!AF26+Elena!AF26+Bolqrka!AF26+Gorna!AF26+Svishtov!AF26+Rosica!AF26+Gabrovo!AF26+Plachkovci!AF26+Sevlievo!AF26+Bqla!AF26+Dunav_Ruse!AF26+Silistra!AF26+Tutrakan!AF26+Seslav!AF26+Karakuz!AF26+Razgrad!AF26+Voden!AF26</f>
        <v>1064</v>
      </c>
      <c r="AG26" s="163">
        <f>Bujnovci!AG26+Elena!AG26+Bolqrka!AG26+Gorna!AG26+Svishtov!AG26+Rosica!AG26+Gabrovo!AG26+Plachkovci!AG26+Sevlievo!AG26+Bqla!AG26+Dunav_Ruse!AG26+Silistra!AG26+Tutrakan!AG26+Seslav!AG26+Karakuz!AG26+Razgrad!AG26+Voden!AG26</f>
        <v>247.5</v>
      </c>
      <c r="AH26" s="163">
        <f>Bujnovci!AH26+Elena!AH26+Bolqrka!AH26+Gorna!AH26+Svishtov!AH26+Rosica!AH26+Gabrovo!AH26+Plachkovci!AH26+Sevlievo!AH26+Bqla!AH26+Dunav_Ruse!AH26+Silistra!AH26+Tutrakan!AH26+Seslav!AH26+Karakuz!AH26+Razgrad!AH26+Voden!AH26</f>
        <v>2419</v>
      </c>
      <c r="AI26" s="168"/>
      <c r="AJ26" s="163" t="s">
        <v>23</v>
      </c>
      <c r="AK26" s="165">
        <f>Bujnovci!AK26+Elena!AK26+Bolqrka!AK26+Gorna!AK26+Svishtov!AK26+Rosica!AK26+Gabrovo!AK26+Plachkovci!AK26+Sevlievo!AK26+Bqla!AK26+Dunav_Ruse!AK26+Silistra!AK26+Tutrakan!AK26+Seslav!AK26+Karakuz!AK26+Razgrad!AK26+Voden!AK26</f>
        <v>28.4</v>
      </c>
      <c r="AL26" s="163">
        <f>Bujnovci!AL26+Elena!AL26+Bolqrka!AL26+Gorna!AL26+Svishtov!AL26+Rosica!AL26+Gabrovo!AL26+Plachkovci!AL26+Sevlievo!AL26+Bqla!AL26+Dunav_Ruse!AL26+Silistra!AL26+Tutrakan!AL26+Seslav!AL26+Karakuz!AL26+Razgrad!AL26+Voden!AL26</f>
        <v>1625</v>
      </c>
      <c r="AM26" s="163">
        <f>Bujnovci!AM26+Elena!AM26+Bolqrka!AM26+Gorna!AM26+Svishtov!AM26+Rosica!AM26+Gabrovo!AM26+Plachkovci!AM26+Sevlievo!AM26+Bqla!AM26+Dunav_Ruse!AM26+Silistra!AM26+Tutrakan!AM26+Seslav!AM26+Karakuz!AM26+Razgrad!AM26+Voden!AM26</f>
        <v>1422</v>
      </c>
      <c r="AN26" s="163">
        <f>Bujnovci!AN26+Elena!AN26+Bolqrka!AN26+Gorna!AN26+Svishtov!AN26+Rosica!AN26+Gabrovo!AN26+Plachkovci!AN26+Sevlievo!AN26+Bqla!AN26+Dunav_Ruse!AN26+Silistra!AN26+Tutrakan!AN26+Seslav!AN26+Karakuz!AN26+Razgrad!AN26+Voden!AN26</f>
        <v>18</v>
      </c>
      <c r="AO26" s="163">
        <f>Bujnovci!AO26+Elena!AO26+Bolqrka!AO26+Gorna!AO26+Svishtov!AO26+Rosica!AO26+Gabrovo!AO26+Plachkovci!AO26+Sevlievo!AO26+Bqla!AO26+Dunav_Ruse!AO26+Silistra!AO26+Tutrakan!AO26+Seslav!AO26+Karakuz!AO26+Razgrad!AO26+Voden!AO26</f>
        <v>62</v>
      </c>
      <c r="AP26" s="163">
        <f>Bujnovci!AP26+Elena!AP26+Bolqrka!AP26+Gorna!AP26+Svishtov!AP26+Rosica!AP26+Gabrovo!AP26+Plachkovci!AP26+Sevlievo!AP26+Bqla!AP26+Dunav_Ruse!AP26+Silistra!AP26+Tutrakan!AP26+Seslav!AP26+Karakuz!AP26+Razgrad!AP26+Voden!AP26</f>
        <v>32</v>
      </c>
      <c r="AQ26" s="163">
        <f>Bujnovci!AQ26+Elena!AQ26+Bolqrka!AQ26+Gorna!AQ26+Svishtov!AQ26+Rosica!AQ26+Gabrovo!AQ26+Plachkovci!AQ26+Sevlievo!AQ26+Bqla!AQ26+Dunav_Ruse!AQ26+Silistra!AQ26+Tutrakan!AQ26+Seslav!AQ26+Karakuz!AQ26+Razgrad!AQ26+Voden!AQ26</f>
        <v>1310</v>
      </c>
      <c r="AR26" s="164"/>
      <c r="AS26" s="164"/>
    </row>
    <row r="27" spans="1:45" ht="12">
      <c r="A27" s="162" t="s">
        <v>24</v>
      </c>
      <c r="B27" s="165">
        <f>Bujnovci!B27+Elena!B27+Bolqrka!B27+Gorna!B27+Svishtov!B27+Rosica!B27+Gabrovo!B27+Plachkovci!B27+Sevlievo!B27+Bqla!B27+Dunav_Ruse!B27+Silistra!B27+Tutrakan!B27+Seslav!B27+Karakuz!B27+Razgrad!B27+Voden!B27</f>
        <v>986.44499999999982</v>
      </c>
      <c r="C27" s="163">
        <f>Bujnovci!C27+Elena!C27+Bolqrka!C27+Gorna!C27+Svishtov!C27+Rosica!C27+Gabrovo!C27+Plachkovci!C27+Sevlievo!C27+Bqla!C27+Dunav_Ruse!C27+Silistra!C27+Tutrakan!C27+Seslav!C27+Karakuz!C27+Razgrad!C27+Voden!C27</f>
        <v>28526</v>
      </c>
      <c r="D27" s="163">
        <f>Bujnovci!D27+Elena!D27+Bolqrka!D27+Gorna!D27+Svishtov!D27+Rosica!D27+Gabrovo!D27+Plachkovci!D27+Sevlievo!D27+Bqla!D27+Dunav_Ruse!D27+Silistra!D27+Tutrakan!D27+Seslav!D27+Karakuz!D27+Razgrad!D27+Voden!D27</f>
        <v>25752</v>
      </c>
      <c r="E27" s="163">
        <f>Bujnovci!E27+Elena!E27+Bolqrka!E27+Gorna!E27+Svishtov!E27+Rosica!E27+Gabrovo!E27+Plachkovci!E27+Sevlievo!E27+Bqla!E27+Dunav_Ruse!E27+Silistra!E27+Tutrakan!E27+Seslav!E27+Karakuz!E27+Razgrad!E27+Voden!E27</f>
        <v>3358</v>
      </c>
      <c r="F27" s="163">
        <f>Bujnovci!F27+Elena!F27+Bolqrka!F27+Gorna!F27+Svishtov!F27+Rosica!F27+Gabrovo!F27+Plachkovci!F27+Sevlievo!F27+Bqla!F27+Dunav_Ruse!F27+Silistra!F27+Tutrakan!F27+Seslav!F27+Karakuz!F27+Razgrad!F27+Voden!F27</f>
        <v>3136</v>
      </c>
      <c r="G27" s="163">
        <f>Bujnovci!G27+Elena!G27+Bolqrka!G27+Gorna!G27+Svishtov!G27+Rosica!G27+Gabrovo!G27+Plachkovci!G27+Sevlievo!G27+Bqla!G27+Dunav_Ruse!G27+Silistra!G27+Tutrakan!G27+Seslav!G27+Karakuz!G27+Razgrad!G27+Voden!G27</f>
        <v>364</v>
      </c>
      <c r="H27" s="163">
        <f>Bujnovci!H27+Elena!H27+Bolqrka!H27+Gorna!H27+Svishtov!H27+Rosica!H27+Gabrovo!H27+Plachkovci!H27+Sevlievo!H27+Bqla!H27+Dunav_Ruse!H27+Silistra!H27+Tutrakan!H27+Seslav!H27+Karakuz!H27+Razgrad!H27+Voden!H27</f>
        <v>18894</v>
      </c>
      <c r="I27" s="164"/>
      <c r="J27" s="162" t="s">
        <v>24</v>
      </c>
      <c r="K27" s="165">
        <f>Bujnovci!K27+Elena!K27+Bolqrka!K27+Gorna!K27+Svishtov!K27+Rosica!K27+Gabrovo!K27+Plachkovci!K27+Sevlievo!K27+Bqla!K27+Dunav_Ruse!K27+Silistra!K27+Tutrakan!K27+Seslav!K27+Karakuz!K27+Razgrad!K27+Voden!K27</f>
        <v>274.95000000000005</v>
      </c>
      <c r="L27" s="163">
        <f>Bujnovci!L27+Elena!L27+Bolqrka!L27+Gorna!L27+Svishtov!L27+Rosica!L27+Gabrovo!L27+Plachkovci!L27+Sevlievo!L27+Bqla!L27+Dunav_Ruse!L27+Silistra!L27+Tutrakan!L27+Seslav!L27+Karakuz!L27+Razgrad!L27+Voden!L27</f>
        <v>7528</v>
      </c>
      <c r="M27" s="163">
        <f>Bujnovci!M27+Elena!M27+Bolqrka!M27+Gorna!M27+Svishtov!M27+Rosica!M27+Gabrovo!M27+Plachkovci!M27+Sevlievo!M27+Bqla!M27+Dunav_Ruse!M27+Silistra!M27+Tutrakan!M27+Seslav!M27+Karakuz!M27+Razgrad!M27+Voden!M27</f>
        <v>6978</v>
      </c>
      <c r="N27" s="163">
        <f>Bujnovci!N27+Elena!N27+Bolqrka!N27+Gorna!N27+Svishtov!N27+Rosica!N27+Gabrovo!N27+Plachkovci!N27+Sevlievo!N27+Bqla!N27+Dunav_Ruse!N27+Silistra!N27+Tutrakan!N27+Seslav!N27+Karakuz!N27+Razgrad!N27+Voden!N27</f>
        <v>1233</v>
      </c>
      <c r="O27" s="163">
        <f>Bujnovci!O27+Elena!O27+Bolqrka!O27+Gorna!O27+Svishtov!O27+Rosica!O27+Gabrovo!O27+Plachkovci!O27+Sevlievo!O27+Bqla!O27+Dunav_Ruse!O27+Silistra!O27+Tutrakan!O27+Seslav!O27+Karakuz!O27+Razgrad!O27+Voden!O27</f>
        <v>1010</v>
      </c>
      <c r="P27" s="163">
        <f>Bujnovci!P27+Elena!P27+Bolqrka!P27+Gorna!P27+Svishtov!P27+Rosica!P27+Gabrovo!P27+Plachkovci!P27+Sevlievo!P27+Bqla!P27+Dunav_Ruse!P27+Silistra!P27+Tutrakan!P27+Seslav!P27+Karakuz!P27+Razgrad!P27+Voden!P27</f>
        <v>136</v>
      </c>
      <c r="Q27" s="163">
        <f>Bujnovci!Q27+Elena!Q27+Bolqrka!Q27+Gorna!Q27+Svishtov!Q27+Rosica!Q27+Gabrovo!Q27+Plachkovci!Q27+Sevlievo!Q27+Bqla!Q27+Dunav_Ruse!Q27+Silistra!Q27+Tutrakan!Q27+Seslav!Q27+Karakuz!Q27+Razgrad!Q27+Voden!Q27</f>
        <v>4599</v>
      </c>
      <c r="R27" s="162" t="s">
        <v>24</v>
      </c>
      <c r="S27" s="165">
        <f>Bujnovci!S27+Elena!S27+Bolqrka!S27+Gorna!S27+Svishtov!S27+Rosica!S27+Gabrovo!S27+Plachkovci!S27+Sevlievo!S27+Bqla!S27+Dunav_Ruse!S27+Silistra!S27+Tutrakan!S27+Seslav!S27+Karakuz!S27+Razgrad!S27+Voden!S27</f>
        <v>705.39499999999998</v>
      </c>
      <c r="T27" s="163">
        <f>Bujnovci!T27+Elena!T27+Bolqrka!T27+Gorna!T27+Svishtov!T27+Rosica!T27+Gabrovo!T27+Plachkovci!T27+Sevlievo!T27+Bqla!T27+Dunav_Ruse!T27+Silistra!T27+Tutrakan!T27+Seslav!T27+Karakuz!T27+Razgrad!T27+Voden!T27</f>
        <v>20838</v>
      </c>
      <c r="U27" s="163">
        <f>Bujnovci!U27+Elena!U27+Bolqrka!U27+Gorna!U27+Svishtov!U27+Rosica!U27+Gabrovo!U27+Plachkovci!U27+Sevlievo!U27+Bqla!U27+Dunav_Ruse!U27+Silistra!U27+Tutrakan!U27+Seslav!U27+Karakuz!U27+Razgrad!U27+Voden!U27</f>
        <v>18632</v>
      </c>
      <c r="V27" s="163">
        <f>Bujnovci!V27+Elena!V27+Bolqrka!V27+Gorna!V27+Svishtov!V27+Rosica!V27+Gabrovo!V27+Plachkovci!V27+Sevlievo!V27+Bqla!V27+Dunav_Ruse!V27+Silistra!V27+Tutrakan!V27+Seslav!V27+Karakuz!V27+Razgrad!V27+Voden!V27</f>
        <v>2125</v>
      </c>
      <c r="W27" s="163">
        <f>Bujnovci!W27+Elena!W27+Bolqrka!W27+Gorna!W27+Svishtov!W27+Rosica!W27+Gabrovo!W27+Plachkovci!W27+Sevlievo!W27+Bqla!W27+Dunav_Ruse!W27+Silistra!W27+Tutrakan!W27+Seslav!W27+Karakuz!W27+Razgrad!W27+Voden!W27</f>
        <v>2126</v>
      </c>
      <c r="X27" s="163">
        <f>Bujnovci!X27+Elena!X27+Bolqrka!X27+Gorna!X27+Svishtov!X27+Rosica!X27+Gabrovo!X27+Plachkovci!X27+Sevlievo!X27+Bqla!X27+Dunav_Ruse!X27+Silistra!X27+Tutrakan!X27+Seslav!X27+Karakuz!X27+Razgrad!X27+Voden!X27</f>
        <v>228</v>
      </c>
      <c r="Y27" s="163">
        <f>Bujnovci!Y27+Elena!Y27+Bolqrka!Y27+Gorna!Y27+Svishtov!Y27+Rosica!Y27+Gabrovo!Y27+Plachkovci!Y27+Sevlievo!Y27+Bqla!Y27+Dunav_Ruse!Y27+Silistra!Y27+Tutrakan!Y27+Seslav!Y27+Karakuz!Y27+Razgrad!Y27+Voden!Y27</f>
        <v>14155</v>
      </c>
      <c r="Z27" s="164"/>
      <c r="AA27" s="162" t="s">
        <v>24</v>
      </c>
      <c r="AB27" s="165">
        <f>Bujnovci!AB27+Elena!AB27+Bolqrka!AB27+Gorna!AB27+Svishtov!AB27+Rosica!AB27+Gabrovo!AB27+Plachkovci!AB27+Sevlievo!AB27+Bqla!AB27+Dunav_Ruse!AB27+Silistra!AB27+Tutrakan!AB27+Seslav!AB27+Karakuz!AB27+Razgrad!AB27+Voden!AB27</f>
        <v>59.599999999999994</v>
      </c>
      <c r="AC27" s="163">
        <f>Bujnovci!AC27+Elena!AC27+Bolqrka!AC27+Gorna!AC27+Svishtov!AC27+Rosica!AC27+Gabrovo!AC27+Plachkovci!AC27+Sevlievo!AC27+Bqla!AC27+Dunav_Ruse!AC27+Silistra!AC27+Tutrakan!AC27+Seslav!AC27+Karakuz!AC27+Razgrad!AC27+Voden!AC27</f>
        <v>1954</v>
      </c>
      <c r="AD27" s="163">
        <f>Bujnovci!AD27+Elena!AD27+Bolqrka!AD27+Gorna!AD27+Svishtov!AD27+Rosica!AD27+Gabrovo!AD27+Plachkovci!AD27+Sevlievo!AD27+Bqla!AD27+Dunav_Ruse!AD27+Silistra!AD27+Tutrakan!AD27+Seslav!AD27+Karakuz!AD27+Razgrad!AD27+Voden!AD27</f>
        <v>1725</v>
      </c>
      <c r="AE27" s="163">
        <f>Bujnovci!AE27+Elena!AE27+Bolqrka!AE27+Gorna!AE27+Svishtov!AE27+Rosica!AE27+Gabrovo!AE27+Plachkovci!AE27+Sevlievo!AE27+Bqla!AE27+Dunav_Ruse!AE27+Silistra!AE27+Tutrakan!AE27+Seslav!AE27+Karakuz!AE27+Razgrad!AE27+Voden!AE27</f>
        <v>325</v>
      </c>
      <c r="AF27" s="163">
        <f>Bujnovci!AF27+Elena!AF27+Bolqrka!AF27+Gorna!AF27+Svishtov!AF27+Rosica!AF27+Gabrovo!AF27+Plachkovci!AF27+Sevlievo!AF27+Bqla!AF27+Dunav_Ruse!AF27+Silistra!AF27+Tutrakan!AF27+Seslav!AF27+Karakuz!AF27+Razgrad!AF27+Voden!AF27</f>
        <v>115</v>
      </c>
      <c r="AG27" s="163">
        <f>Bujnovci!AG27+Elena!AG27+Bolqrka!AG27+Gorna!AG27+Svishtov!AG27+Rosica!AG27+Gabrovo!AG27+Plachkovci!AG27+Sevlievo!AG27+Bqla!AG27+Dunav_Ruse!AG27+Silistra!AG27+Tutrakan!AG27+Seslav!AG27+Karakuz!AG27+Razgrad!AG27+Voden!AG27</f>
        <v>19</v>
      </c>
      <c r="AH27" s="163">
        <f>Bujnovci!AH27+Elena!AH27+Bolqrka!AH27+Gorna!AH27+Svishtov!AH27+Rosica!AH27+Gabrovo!AH27+Plachkovci!AH27+Sevlievo!AH27+Bqla!AH27+Dunav_Ruse!AH27+Silistra!AH27+Tutrakan!AH27+Seslav!AH27+Karakuz!AH27+Razgrad!AH27+Voden!AH27</f>
        <v>1266</v>
      </c>
      <c r="AI27" s="168"/>
      <c r="AJ27" s="163" t="s">
        <v>24</v>
      </c>
      <c r="AK27" s="165">
        <f>Bujnovci!AK27+Elena!AK27+Bolqrka!AK27+Gorna!AK27+Svishtov!AK27+Rosica!AK27+Gabrovo!AK27+Plachkovci!AK27+Sevlievo!AK27+Bqla!AK27+Dunav_Ruse!AK27+Silistra!AK27+Tutrakan!AK27+Seslav!AK27+Karakuz!AK27+Razgrad!AK27+Voden!AK27</f>
        <v>6.1</v>
      </c>
      <c r="AL27" s="163">
        <f>Bujnovci!AL27+Elena!AL27+Bolqrka!AL27+Gorna!AL27+Svishtov!AL27+Rosica!AL27+Gabrovo!AL27+Plachkovci!AL27+Sevlievo!AL27+Bqla!AL27+Dunav_Ruse!AL27+Silistra!AL27+Tutrakan!AL27+Seslav!AL27+Karakuz!AL27+Razgrad!AL27+Voden!AL27</f>
        <v>160</v>
      </c>
      <c r="AM27" s="163">
        <f>Bujnovci!AM27+Elena!AM27+Bolqrka!AM27+Gorna!AM27+Svishtov!AM27+Rosica!AM27+Gabrovo!AM27+Plachkovci!AM27+Sevlievo!AM27+Bqla!AM27+Dunav_Ruse!AM27+Silistra!AM27+Tutrakan!AM27+Seslav!AM27+Karakuz!AM27+Razgrad!AM27+Voden!AM27</f>
        <v>140</v>
      </c>
      <c r="AN27" s="163">
        <f>Bujnovci!AN27+Elena!AN27+Bolqrka!AN27+Gorna!AN27+Svishtov!AN27+Rosica!AN27+Gabrovo!AN27+Plachkovci!AN27+Sevlievo!AN27+Bqla!AN27+Dunav_Ruse!AN27+Silistra!AN27+Tutrakan!AN27+Seslav!AN27+Karakuz!AN27+Razgrad!AN27+Voden!AN27</f>
        <v>0</v>
      </c>
      <c r="AO27" s="163">
        <f>Bujnovci!AO27+Elena!AO27+Bolqrka!AO27+Gorna!AO27+Svishtov!AO27+Rosica!AO27+Gabrovo!AO27+Plachkovci!AO27+Sevlievo!AO27+Bqla!AO27+Dunav_Ruse!AO27+Silistra!AO27+Tutrakan!AO27+Seslav!AO27+Karakuz!AO27+Razgrad!AO27+Voden!AO27</f>
        <v>0</v>
      </c>
      <c r="AP27" s="163">
        <f>Bujnovci!AP27+Elena!AP27+Bolqrka!AP27+Gorna!AP27+Svishtov!AP27+Rosica!AP27+Gabrovo!AP27+Plachkovci!AP27+Sevlievo!AP27+Bqla!AP27+Dunav_Ruse!AP27+Silistra!AP27+Tutrakan!AP27+Seslav!AP27+Karakuz!AP27+Razgrad!AP27+Voden!AP27</f>
        <v>0</v>
      </c>
      <c r="AQ27" s="163">
        <f>Bujnovci!AQ27+Elena!AQ27+Bolqrka!AQ27+Gorna!AQ27+Svishtov!AQ27+Rosica!AQ27+Gabrovo!AQ27+Plachkovci!AQ27+Sevlievo!AQ27+Bqla!AQ27+Dunav_Ruse!AQ27+Silistra!AQ27+Tutrakan!AQ27+Seslav!AQ27+Karakuz!AQ27+Razgrad!AQ27+Voden!AQ27</f>
        <v>140</v>
      </c>
      <c r="AR27" s="164"/>
      <c r="AS27" s="164"/>
    </row>
    <row r="28" spans="1:45" ht="12">
      <c r="A28" s="162" t="s">
        <v>12</v>
      </c>
      <c r="B28" s="163">
        <f t="shared" ref="B28:H28" si="20">B27/B26*100</f>
        <v>95.678467507274476</v>
      </c>
      <c r="C28" s="163">
        <f t="shared" si="20"/>
        <v>68.838533748401261</v>
      </c>
      <c r="D28" s="163">
        <f t="shared" si="20"/>
        <v>71.186300120247125</v>
      </c>
      <c r="E28" s="163">
        <f t="shared" si="20"/>
        <v>95.628648725615832</v>
      </c>
      <c r="F28" s="163">
        <f t="shared" si="20"/>
        <v>42.315476993658073</v>
      </c>
      <c r="G28" s="163">
        <f t="shared" si="20"/>
        <v>21.506646971935005</v>
      </c>
      <c r="H28" s="163">
        <f t="shared" si="20"/>
        <v>80.271906532129577</v>
      </c>
      <c r="I28" s="164"/>
      <c r="J28" s="162" t="s">
        <v>12</v>
      </c>
      <c r="K28" s="163">
        <f t="shared" ref="K28:Q28" si="21">K27/K26*100</f>
        <v>87.790159328203345</v>
      </c>
      <c r="L28" s="163">
        <f t="shared" si="21"/>
        <v>69.369701437523034</v>
      </c>
      <c r="M28" s="163">
        <f t="shared" si="21"/>
        <v>77.301429046194741</v>
      </c>
      <c r="N28" s="163">
        <f t="shared" si="21"/>
        <v>187.95731707317074</v>
      </c>
      <c r="O28" s="163">
        <f t="shared" si="21"/>
        <v>48.639537683602214</v>
      </c>
      <c r="P28" s="163">
        <f t="shared" si="21"/>
        <v>28.874734607218684</v>
      </c>
      <c r="Q28" s="163">
        <f t="shared" si="21"/>
        <v>79.027407852908325</v>
      </c>
      <c r="R28" s="162" t="s">
        <v>12</v>
      </c>
      <c r="S28" s="163">
        <f t="shared" ref="S28:Y28" si="22">S27/S26*100</f>
        <v>102.31864927981896</v>
      </c>
      <c r="T28" s="163">
        <f t="shared" si="22"/>
        <v>71.949451004764867</v>
      </c>
      <c r="U28" s="163">
        <f t="shared" si="22"/>
        <v>72.426191910750035</v>
      </c>
      <c r="V28" s="163">
        <f t="shared" si="22"/>
        <v>74.889867841409696</v>
      </c>
      <c r="W28" s="163">
        <f t="shared" si="22"/>
        <v>40.322427690848741</v>
      </c>
      <c r="X28" s="163">
        <f t="shared" si="22"/>
        <v>19.167717528373267</v>
      </c>
      <c r="Y28" s="163">
        <f t="shared" si="22"/>
        <v>86.268893222818136</v>
      </c>
      <c r="Z28" s="164"/>
      <c r="AA28" s="162" t="s">
        <v>12</v>
      </c>
      <c r="AB28" s="163">
        <f t="shared" ref="AB28:AH28" si="23">AB27/AB26*100</f>
        <v>39.916951309356371</v>
      </c>
      <c r="AC28" s="163">
        <f t="shared" si="23"/>
        <v>32.782484690881638</v>
      </c>
      <c r="AD28" s="163">
        <f t="shared" si="23"/>
        <v>31.697905181918411</v>
      </c>
      <c r="AE28" s="163">
        <f t="shared" si="23"/>
        <v>18.989190768331873</v>
      </c>
      <c r="AF28" s="163">
        <f t="shared" si="23"/>
        <v>10.808270676691729</v>
      </c>
      <c r="AG28" s="163">
        <f t="shared" si="23"/>
        <v>7.6767676767676765</v>
      </c>
      <c r="AH28" s="163">
        <f t="shared" si="23"/>
        <v>52.335675899131871</v>
      </c>
      <c r="AI28" s="171"/>
      <c r="AJ28" s="202" t="s">
        <v>12</v>
      </c>
      <c r="AK28" s="163">
        <f t="shared" ref="AK28:AQ28" si="24">AK27/AK26*100</f>
        <v>21.47887323943662</v>
      </c>
      <c r="AL28" s="163">
        <f t="shared" si="24"/>
        <v>9.8461538461538467</v>
      </c>
      <c r="AM28" s="163">
        <f t="shared" si="24"/>
        <v>9.8452883263009845</v>
      </c>
      <c r="AN28" s="163">
        <f t="shared" si="24"/>
        <v>0</v>
      </c>
      <c r="AO28" s="163">
        <f t="shared" si="24"/>
        <v>0</v>
      </c>
      <c r="AP28" s="163">
        <f t="shared" si="24"/>
        <v>0</v>
      </c>
      <c r="AQ28" s="163">
        <f t="shared" si="24"/>
        <v>10.687022900763358</v>
      </c>
      <c r="AR28" s="164"/>
      <c r="AS28" s="164"/>
    </row>
    <row r="29" spans="1:45" ht="12">
      <c r="A29" s="162" t="s">
        <v>25</v>
      </c>
      <c r="B29" s="165">
        <f>Bujnovci!B29+Elena!B29+Bolqrka!B29+Gorna!B29+Svishtov!B29+Rosica!B29+Gabrovo!B29+Plachkovci!B29+Sevlievo!B29+Bqla!B29+Dunav_Ruse!B29+Silistra!B29+Tutrakan!B29+Seslav!B29+Karakuz!B29+Razgrad!B29+Voden!B29</f>
        <v>2875.57</v>
      </c>
      <c r="C29" s="163">
        <f>Bujnovci!C29+Elena!C29+Bolqrka!C29+Gorna!C29+Svishtov!C29+Rosica!C29+Gabrovo!C29+Plachkovci!C29+Sevlievo!C29+Bqla!C29+Dunav_Ruse!C29+Silistra!C29+Tutrakan!C29+Seslav!C29+Karakuz!C29+Razgrad!C29+Voden!C29</f>
        <v>122525</v>
      </c>
      <c r="D29" s="163">
        <f>Bujnovci!D29+Elena!D29+Bolqrka!D29+Gorna!D29+Svishtov!D29+Rosica!D29+Gabrovo!D29+Plachkovci!D29+Sevlievo!D29+Bqla!D29+Dunav_Ruse!D29+Silistra!D29+Tutrakan!D29+Seslav!D29+Karakuz!D29+Razgrad!D29+Voden!D29</f>
        <v>108517</v>
      </c>
      <c r="E29" s="163">
        <f>Bujnovci!E29+Elena!E29+Bolqrka!E29+Gorna!E29+Svishtov!E29+Rosica!E29+Gabrovo!E29+Plachkovci!E29+Sevlievo!E29+Bqla!E29+Dunav_Ruse!E29+Silistra!E29+Tutrakan!E29+Seslav!E29+Karakuz!E29+Razgrad!E29+Voden!E29</f>
        <v>9884</v>
      </c>
      <c r="F29" s="163">
        <f>Bujnovci!F29+Elena!F29+Bolqrka!F29+Gorna!F29+Svishtov!F29+Rosica!F29+Gabrovo!F29+Plachkovci!F29+Sevlievo!F29+Bqla!F29+Dunav_Ruse!F29+Silistra!F29+Tutrakan!F29+Seslav!F29+Karakuz!F29+Razgrad!F29+Voden!F29</f>
        <v>23534.5</v>
      </c>
      <c r="G29" s="163">
        <f>Bujnovci!G29+Elena!G29+Bolqrka!G29+Gorna!G29+Svishtov!G29+Rosica!G29+Gabrovo!G29+Plachkovci!G29+Sevlievo!G29+Bqla!G29+Dunav_Ruse!G29+Silistra!G29+Tutrakan!G29+Seslav!G29+Karakuz!G29+Razgrad!G29+Voden!G29</f>
        <v>5439.5</v>
      </c>
      <c r="H29" s="163">
        <f>Bujnovci!H29+Elena!H29+Bolqrka!H29+Gorna!H29+Svishtov!H29+Rosica!H29+Gabrovo!H29+Plachkovci!H29+Sevlievo!H29+Bqla!H29+Dunav_Ruse!H29+Silistra!H29+Tutrakan!H29+Seslav!H29+Karakuz!H29+Razgrad!H29+Voden!H29</f>
        <v>69632</v>
      </c>
      <c r="I29" s="164"/>
      <c r="J29" s="162" t="s">
        <v>25</v>
      </c>
      <c r="K29" s="165">
        <f>Bujnovci!K29+Elena!K29+Bolqrka!K29+Gorna!K29+Svishtov!K29+Rosica!K29+Gabrovo!K29+Plachkovci!K29+Sevlievo!K29+Bqla!K29+Dunav_Ruse!K29+Silistra!K29+Tutrakan!K29+Seslav!K29+Karakuz!K29+Razgrad!K29+Voden!K29</f>
        <v>637.39</v>
      </c>
      <c r="L29" s="163">
        <f>Bujnovci!L29+Elena!L29+Bolqrka!L29+Gorna!L29+Svishtov!L29+Rosica!L29+Gabrovo!L29+Plachkovci!L29+Sevlievo!L29+Bqla!L29+Dunav_Ruse!L29+Silistra!L29+Tutrakan!L29+Seslav!L29+Karakuz!L29+Razgrad!L29+Voden!L29</f>
        <v>14828.5</v>
      </c>
      <c r="M29" s="163">
        <f>Bujnovci!M29+Elena!M29+Bolqrka!M29+Gorna!M29+Svishtov!M29+Rosica!M29+Gabrovo!M29+Plachkovci!M29+Sevlievo!M29+Bqla!M29+Dunav_Ruse!M29+Silistra!M29+Tutrakan!M29+Seslav!M29+Karakuz!M29+Razgrad!M29+Voden!M29</f>
        <v>12889.5</v>
      </c>
      <c r="N29" s="163">
        <f>Bujnovci!N29+Elena!N29+Bolqrka!N29+Gorna!N29+Svishtov!N29+Rosica!N29+Gabrovo!N29+Plachkovci!N29+Sevlievo!N29+Bqla!N29+Dunav_Ruse!N29+Silistra!N29+Tutrakan!N29+Seslav!N29+Karakuz!N29+Razgrad!N29+Voden!N29</f>
        <v>407.5</v>
      </c>
      <c r="O29" s="163">
        <f>Bujnovci!O29+Elena!O29+Bolqrka!O29+Gorna!O29+Svishtov!O29+Rosica!O29+Gabrovo!O29+Plachkovci!O29+Sevlievo!O29+Bqla!O29+Dunav_Ruse!O29+Silistra!O29+Tutrakan!O29+Seslav!O29+Karakuz!O29+Razgrad!O29+Voden!O29</f>
        <v>2377</v>
      </c>
      <c r="P29" s="163">
        <f>Bujnovci!P29+Elena!P29+Bolqrka!P29+Gorna!P29+Svishtov!P29+Rosica!P29+Gabrovo!P29+Plachkovci!P29+Sevlievo!P29+Bqla!P29+Dunav_Ruse!P29+Silistra!P29+Tutrakan!P29+Seslav!P29+Karakuz!P29+Razgrad!P29+Voden!P29</f>
        <v>699</v>
      </c>
      <c r="Q29" s="163">
        <f>Bujnovci!Q29+Elena!Q29+Bolqrka!Q29+Gorna!Q29+Svishtov!Q29+Rosica!Q29+Gabrovo!Q29+Plachkovci!Q29+Sevlievo!Q29+Bqla!Q29+Dunav_Ruse!Q29+Silistra!Q29+Tutrakan!Q29+Seslav!Q29+Karakuz!Q29+Razgrad!Q29+Voden!Q29</f>
        <v>9402.5</v>
      </c>
      <c r="R29" s="162" t="s">
        <v>25</v>
      </c>
      <c r="S29" s="165">
        <f>Bujnovci!S29+Elena!S29+Bolqrka!S29+Gorna!S29+Svishtov!S29+Rosica!S29+Gabrovo!S29+Plachkovci!S29+Sevlievo!S29+Bqla!S29+Dunav_Ruse!S29+Silistra!S29+Tutrakan!S29+Seslav!S29+Karakuz!S29+Razgrad!S29+Voden!S29</f>
        <v>2197.7800000000002</v>
      </c>
      <c r="T29" s="163">
        <f>Bujnovci!T29+Elena!T29+Bolqrka!T29+Gorna!T29+Svishtov!T29+Rosica!T29+Gabrovo!T29+Plachkovci!T29+Sevlievo!T29+Bqla!T29+Dunav_Ruse!T29+Silistra!T29+Tutrakan!T29+Seslav!T29+Karakuz!T29+Razgrad!T29+Voden!T29</f>
        <v>105694.5</v>
      </c>
      <c r="U29" s="163">
        <f>Bujnovci!U29+Elena!U29+Bolqrka!U29+Gorna!U29+Svishtov!U29+Rosica!U29+Gabrovo!U29+Plachkovci!U29+Sevlievo!U29+Bqla!U29+Dunav_Ruse!U29+Silistra!U29+Tutrakan!U29+Seslav!U29+Karakuz!U29+Razgrad!U29+Voden!U29</f>
        <v>93950.5</v>
      </c>
      <c r="V29" s="163">
        <f>Bujnovci!V29+Elena!V29+Bolqrka!V29+Gorna!V29+Svishtov!V29+Rosica!V29+Gabrovo!V29+Plachkovci!V29+Sevlievo!V29+Bqla!V29+Dunav_Ruse!V29+Silistra!V29+Tutrakan!V29+Seslav!V29+Karakuz!V29+Razgrad!V29+Voden!V29</f>
        <v>9451.5</v>
      </c>
      <c r="W29" s="163">
        <f>Bujnovci!W29+Elena!W29+Bolqrka!W29+Gorna!W29+Svishtov!W29+Rosica!W29+Gabrovo!W29+Plachkovci!W29+Sevlievo!W29+Bqla!W29+Dunav_Ruse!W29+Silistra!W29+Tutrakan!W29+Seslav!W29+Karakuz!W29+Razgrad!W29+Voden!W29</f>
        <v>21009.5</v>
      </c>
      <c r="X29" s="163">
        <f>Bujnovci!X29+Elena!X29+Bolqrka!X29+Gorna!X29+Svishtov!X29+Rosica!X29+Gabrovo!X29+Plachkovci!X29+Sevlievo!X29+Bqla!X29+Dunav_Ruse!X29+Silistra!X29+Tutrakan!X29+Seslav!X29+Karakuz!X29+Razgrad!X29+Voden!X29</f>
        <v>4623.5</v>
      </c>
      <c r="Y29" s="163">
        <f>Bujnovci!Y29+Elena!Y29+Bolqrka!Y29+Gorna!Y29+Svishtov!Y29+Rosica!Y29+Gabrovo!Y29+Plachkovci!Y29+Sevlievo!Y29+Bqla!Y29+Dunav_Ruse!Y29+Silistra!Y29+Tutrakan!Y29+Seslav!Y29+Karakuz!Y29+Razgrad!Y29+Voden!Y29</f>
        <v>58842.5</v>
      </c>
      <c r="Z29" s="164"/>
      <c r="AA29" s="162" t="s">
        <v>25</v>
      </c>
      <c r="AB29" s="165">
        <f>Bujnovci!AB29+Elena!AB29+Bolqrka!AB29+Gorna!AB29+Svishtov!AB29+Rosica!AB29+Gabrovo!AB29+Plachkovci!AB29+Sevlievo!AB29+Bqla!AB29+Dunav_Ruse!AB29+Silistra!AB29+Tutrakan!AB29+Seslav!AB29+Karakuz!AB29+Razgrad!AB29+Voden!AB29</f>
        <v>213.88</v>
      </c>
      <c r="AC29" s="163">
        <f>Bujnovci!AC29+Elena!AC29+Bolqrka!AC29+Gorna!AC29+Svishtov!AC29+Rosica!AC29+Gabrovo!AC29+Plachkovci!AC29+Sevlievo!AC29+Bqla!AC29+Dunav_Ruse!AC29+Silistra!AC29+Tutrakan!AC29+Seslav!AC29+Karakuz!AC29+Razgrad!AC29+Voden!AC29</f>
        <v>8564</v>
      </c>
      <c r="AD29" s="163">
        <f>Bujnovci!AD29+Elena!AD29+Bolqrka!AD29+Gorna!AD29+Svishtov!AD29+Rosica!AD29+Gabrovo!AD29+Plachkovci!AD29+Sevlievo!AD29+Bqla!AD29+Dunav_Ruse!AD29+Silistra!AD29+Tutrakan!AD29+Seslav!AD29+Karakuz!AD29+Razgrad!AD29+Voden!AD29</f>
        <v>7997</v>
      </c>
      <c r="AE29" s="163">
        <f>Bujnovci!AE29+Elena!AE29+Bolqrka!AE29+Gorna!AE29+Svishtov!AE29+Rosica!AE29+Gabrovo!AE29+Plachkovci!AE29+Sevlievo!AE29+Bqla!AE29+Dunav_Ruse!AE29+Silistra!AE29+Tutrakan!AE29+Seslav!AE29+Karakuz!AE29+Razgrad!AE29+Voden!AE29</f>
        <v>2730.5</v>
      </c>
      <c r="AF29" s="163">
        <f>Bujnovci!AF29+Elena!AF29+Bolqrka!AF29+Gorna!AF29+Svishtov!AF29+Rosica!AF29+Gabrovo!AF29+Plachkovci!AF29+Sevlievo!AF29+Bqla!AF29+Dunav_Ruse!AF29+Silistra!AF29+Tutrakan!AF29+Seslav!AF29+Karakuz!AF29+Razgrad!AF29+Voden!AF29</f>
        <v>1556</v>
      </c>
      <c r="AG29" s="163">
        <f>Bujnovci!AG29+Elena!AG29+Bolqrka!AG29+Gorna!AG29+Svishtov!AG29+Rosica!AG29+Gabrovo!AG29+Plachkovci!AG29+Sevlievo!AG29+Bqla!AG29+Dunav_Ruse!AG29+Silistra!AG29+Tutrakan!AG29+Seslav!AG29+Karakuz!AG29+Razgrad!AG29+Voden!AG29</f>
        <v>411.5</v>
      </c>
      <c r="AH29" s="163">
        <f>Bujnovci!AH29+Elena!AH29+Bolqrka!AH29+Gorna!AH29+Svishtov!AH29+Rosica!AH29+Gabrovo!AH29+Plachkovci!AH29+Sevlievo!AH29+Bqla!AH29+Dunav_Ruse!AH29+Silistra!AH29+Tutrakan!AH29+Seslav!AH29+Karakuz!AH29+Razgrad!AH29+Voden!AH29</f>
        <v>3298.5</v>
      </c>
      <c r="AI29" s="168"/>
      <c r="AJ29" s="163" t="s">
        <v>25</v>
      </c>
      <c r="AK29" s="165">
        <f>Bujnovci!AK29+Elena!AK29+Bolqrka!AK29+Gorna!AK29+Svishtov!AK29+Rosica!AK29+Gabrovo!AK29+Plachkovci!AK29+Sevlievo!AK29+Bqla!AK29+Dunav_Ruse!AK29+Silistra!AK29+Tutrakan!AK29+Seslav!AK29+Karakuz!AK29+Razgrad!AK29+Voden!AK29</f>
        <v>40.4</v>
      </c>
      <c r="AL29" s="163">
        <f>Bujnovci!AL29+Elena!AL29+Bolqrka!AL29+Gorna!AL29+Svishtov!AL29+Rosica!AL29+Gabrovo!AL29+Plachkovci!AL29+Sevlievo!AL29+Bqla!AL29+Dunav_Ruse!AL29+Silistra!AL29+Tutrakan!AL29+Seslav!AL29+Karakuz!AL29+Razgrad!AL29+Voden!AL29</f>
        <v>2002</v>
      </c>
      <c r="AM29" s="163">
        <f>Bujnovci!AM29+Elena!AM29+Bolqrka!AM29+Gorna!AM29+Svishtov!AM29+Rosica!AM29+Gabrovo!AM29+Plachkovci!AM29+Sevlievo!AM29+Bqla!AM29+Dunav_Ruse!AM29+Silistra!AM29+Tutrakan!AM29+Seslav!AM29+Karakuz!AM29+Razgrad!AM29+Voden!AM29</f>
        <v>1677</v>
      </c>
      <c r="AN29" s="163">
        <f>Bujnovci!AN29+Elena!AN29+Bolqrka!AN29+Gorna!AN29+Svishtov!AN29+Rosica!AN29+Gabrovo!AN29+Plachkovci!AN29+Sevlievo!AN29+Bqla!AN29+Dunav_Ruse!AN29+Silistra!AN29+Tutrakan!AN29+Seslav!AN29+Karakuz!AN29+Razgrad!AN29+Voden!AN29</f>
        <v>25</v>
      </c>
      <c r="AO29" s="163">
        <f>Bujnovci!AO29+Elena!AO29+Bolqrka!AO29+Gorna!AO29+Svishtov!AO29+Rosica!AO29+Gabrovo!AO29+Plachkovci!AO29+Sevlievo!AO29+Bqla!AO29+Dunav_Ruse!AO29+Silistra!AO29+Tutrakan!AO29+Seslav!AO29+Karakuz!AO29+Razgrad!AO29+Voden!AO29</f>
        <v>148</v>
      </c>
      <c r="AP29" s="163">
        <f>Bujnovci!AP29+Elena!AP29+Bolqrka!AP29+Gorna!AP29+Svishtov!AP29+Rosica!AP29+Gabrovo!AP29+Plachkovci!AP29+Sevlievo!AP29+Bqla!AP29+Dunav_Ruse!AP29+Silistra!AP29+Tutrakan!AP29+Seslav!AP29+Karakuz!AP29+Razgrad!AP29+Voden!AP29</f>
        <v>117</v>
      </c>
      <c r="AQ29" s="163">
        <f>Bujnovci!AQ29+Elena!AQ29+Bolqrka!AQ29+Gorna!AQ29+Svishtov!AQ29+Rosica!AQ29+Gabrovo!AQ29+Plachkovci!AQ29+Sevlievo!AQ29+Bqla!AQ29+Dunav_Ruse!AQ29+Silistra!AQ29+Tutrakan!AQ29+Seslav!AQ29+Karakuz!AQ29+Razgrad!AQ29+Voden!AQ29</f>
        <v>1387</v>
      </c>
      <c r="AR29" s="164"/>
      <c r="AS29" s="164"/>
    </row>
    <row r="30" spans="1:45" ht="12">
      <c r="A30" s="162" t="s">
        <v>26</v>
      </c>
      <c r="B30" s="165">
        <f>Bujnovci!B30+Elena!B30+Bolqrka!B30+Gorna!B30+Svishtov!B30+Rosica!B30+Gabrovo!B30+Plachkovci!B30+Sevlievo!B30+Bqla!B30+Dunav_Ruse!B30+Silistra!B30+Tutrakan!B30+Seslav!B30+Karakuz!B30+Razgrad!B30+Voden!B30</f>
        <v>3251.5200000000004</v>
      </c>
      <c r="C30" s="163">
        <f>Bujnovci!C30+Elena!C30+Bolqrka!C30+Gorna!C30+Svishtov!C30+Rosica!C30+Gabrovo!C30+Plachkovci!C30+Sevlievo!C30+Bqla!C30+Dunav_Ruse!C30+Silistra!C30+Tutrakan!C30+Seslav!C30+Karakuz!C30+Razgrad!C30+Voden!C30</f>
        <v>131626</v>
      </c>
      <c r="D30" s="163">
        <f>Bujnovci!D30+Elena!D30+Bolqrka!D30+Gorna!D30+Svishtov!D30+Rosica!D30+Gabrovo!D30+Plachkovci!D30+Sevlievo!D30+Bqla!D30+Dunav_Ruse!D30+Silistra!D30+Tutrakan!D30+Seslav!D30+Karakuz!D30+Razgrad!D30+Voden!D30</f>
        <v>119643</v>
      </c>
      <c r="E30" s="163">
        <f>Bujnovci!E30+Elena!E30+Bolqrka!E30+Gorna!E30+Svishtov!E30+Rosica!E30+Gabrovo!E30+Plachkovci!E30+Sevlievo!E30+Bqla!E30+Dunav_Ruse!E30+Silistra!E30+Tutrakan!E30+Seslav!E30+Karakuz!E30+Razgrad!E30+Voden!E30</f>
        <v>18401</v>
      </c>
      <c r="F30" s="163">
        <f>Bujnovci!F30+Elena!F30+Bolqrka!F30+Gorna!F30+Svishtov!F30+Rosica!F30+Gabrovo!F30+Plachkovci!F30+Sevlievo!F30+Bqla!F30+Dunav_Ruse!F30+Silistra!F30+Tutrakan!F30+Seslav!F30+Karakuz!F30+Razgrad!F30+Voden!F30</f>
        <v>9509</v>
      </c>
      <c r="G30" s="163">
        <f>Bujnovci!G30+Elena!G30+Bolqrka!G30+Gorna!G30+Svishtov!G30+Rosica!G30+Gabrovo!G30+Plachkovci!G30+Sevlievo!G30+Bqla!G30+Dunav_Ruse!G30+Silistra!G30+Tutrakan!G30+Seslav!G30+Karakuz!G30+Razgrad!G30+Voden!G30</f>
        <v>2346</v>
      </c>
      <c r="H30" s="163">
        <f>Bujnovci!H30+Elena!H30+Bolqrka!H30+Gorna!H30+Svishtov!H30+Rosica!H30+Gabrovo!H30+Plachkovci!H30+Sevlievo!H30+Bqla!H30+Dunav_Ruse!H30+Silistra!H30+Tutrakan!H30+Seslav!H30+Karakuz!H30+Razgrad!H30+Voden!H30</f>
        <v>89387</v>
      </c>
      <c r="I30" s="164"/>
      <c r="J30" s="162" t="s">
        <v>26</v>
      </c>
      <c r="K30" s="165">
        <f>Bujnovci!K30+Elena!K30+Bolqrka!K30+Gorna!K30+Svishtov!K30+Rosica!K30+Gabrovo!K30+Plachkovci!K30+Sevlievo!K30+Bqla!K30+Dunav_Ruse!K30+Silistra!K30+Tutrakan!K30+Seslav!K30+Karakuz!K30+Razgrad!K30+Voden!K30</f>
        <v>660.3</v>
      </c>
      <c r="L30" s="163">
        <f>Bujnovci!L30+Elena!L30+Bolqrka!L30+Gorna!L30+Svishtov!L30+Rosica!L30+Gabrovo!L30+Plachkovci!L30+Sevlievo!L30+Bqla!L30+Dunav_Ruse!L30+Silistra!L30+Tutrakan!L30+Seslav!L30+Karakuz!L30+Razgrad!L30+Voden!L30</f>
        <v>21807</v>
      </c>
      <c r="M30" s="163">
        <f>Bujnovci!M30+Elena!M30+Bolqrka!M30+Gorna!M30+Svishtov!M30+Rosica!M30+Gabrovo!M30+Plachkovci!M30+Sevlievo!M30+Bqla!M30+Dunav_Ruse!M30+Silistra!M30+Tutrakan!M30+Seslav!M30+Karakuz!M30+Razgrad!M30+Voden!M30</f>
        <v>19341</v>
      </c>
      <c r="N30" s="163">
        <f>Bujnovci!N30+Elena!N30+Bolqrka!N30+Gorna!N30+Svishtov!N30+Rosica!N30+Gabrovo!N30+Plachkovci!N30+Sevlievo!N30+Bqla!N30+Dunav_Ruse!N30+Silistra!N30+Tutrakan!N30+Seslav!N30+Karakuz!N30+Razgrad!N30+Voden!N30</f>
        <v>954</v>
      </c>
      <c r="O30" s="163">
        <f>Bujnovci!O30+Elena!O30+Bolqrka!O30+Gorna!O30+Svishtov!O30+Rosica!O30+Gabrovo!O30+Plachkovci!O30+Sevlievo!O30+Bqla!O30+Dunav_Ruse!O30+Silistra!O30+Tutrakan!O30+Seslav!O30+Karakuz!O30+Razgrad!O30+Voden!O30</f>
        <v>2331</v>
      </c>
      <c r="P30" s="163">
        <f>Bujnovci!P30+Elena!P30+Bolqrka!P30+Gorna!P30+Svishtov!P30+Rosica!P30+Gabrovo!P30+Plachkovci!P30+Sevlievo!P30+Bqla!P30+Dunav_Ruse!P30+Silistra!P30+Tutrakan!P30+Seslav!P30+Karakuz!P30+Razgrad!P30+Voden!P30</f>
        <v>703</v>
      </c>
      <c r="Q30" s="163">
        <f>Bujnovci!Q30+Elena!Q30+Bolqrka!Q30+Gorna!Q30+Svishtov!Q30+Rosica!Q30+Gabrovo!Q30+Plachkovci!Q30+Sevlievo!Q30+Bqla!Q30+Dunav_Ruse!Q30+Silistra!Q30+Tutrakan!Q30+Seslav!Q30+Karakuz!Q30+Razgrad!Q30+Voden!Q30</f>
        <v>15353</v>
      </c>
      <c r="R30" s="162" t="s">
        <v>26</v>
      </c>
      <c r="S30" s="165">
        <f>Bujnovci!S30+Elena!S30+Bolqrka!S30+Gorna!S30+Svishtov!S30+Rosica!S30+Gabrovo!S30+Plachkovci!S30+Sevlievo!S30+Bqla!S30+Dunav_Ruse!S30+Silistra!S30+Tutrakan!S30+Seslav!S30+Karakuz!S30+Razgrad!S30+Voden!S30</f>
        <v>2581.52</v>
      </c>
      <c r="T30" s="163">
        <f>Bujnovci!T30+Elena!T30+Bolqrka!T30+Gorna!T30+Svishtov!T30+Rosica!T30+Gabrovo!T30+Plachkovci!T30+Sevlievo!T30+Bqla!T30+Dunav_Ruse!T30+Silistra!T30+Tutrakan!T30+Seslav!T30+Karakuz!T30+Razgrad!T30+Voden!T30</f>
        <v>109597</v>
      </c>
      <c r="U30" s="163">
        <f>Bujnovci!U30+Elena!U30+Bolqrka!U30+Gorna!U30+Svishtov!U30+Rosica!U30+Gabrovo!U30+Plachkovci!U30+Sevlievo!U30+Bqla!U30+Dunav_Ruse!U30+Silistra!U30+Tutrakan!U30+Seslav!U30+Karakuz!U30+Razgrad!U30+Voden!U30</f>
        <v>100105</v>
      </c>
      <c r="V30" s="163">
        <f>Bujnovci!V30+Elena!V30+Bolqrka!V30+Gorna!V30+Svishtov!V30+Rosica!V30+Gabrovo!V30+Plachkovci!V30+Sevlievo!V30+Bqla!V30+Dunav_Ruse!V30+Silistra!V30+Tutrakan!V30+Seslav!V30+Karakuz!V30+Razgrad!V30+Voden!V30</f>
        <v>17433</v>
      </c>
      <c r="W30" s="163">
        <f>Bujnovci!W30+Elena!W30+Bolqrka!W30+Gorna!W30+Svishtov!W30+Rosica!W30+Gabrovo!W30+Plachkovci!W30+Sevlievo!W30+Bqla!W30+Dunav_Ruse!W30+Silistra!W30+Tutrakan!W30+Seslav!W30+Karakuz!W30+Razgrad!W30+Voden!W30</f>
        <v>7176</v>
      </c>
      <c r="X30" s="163">
        <f>Bujnovci!X30+Elena!X30+Bolqrka!X30+Gorna!X30+Svishtov!X30+Rosica!X30+Gabrovo!X30+Plachkovci!X30+Sevlievo!X30+Bqla!X30+Dunav_Ruse!X30+Silistra!X30+Tutrakan!X30+Seslav!X30+Karakuz!X30+Razgrad!X30+Voden!X30</f>
        <v>1643</v>
      </c>
      <c r="Y30" s="163">
        <f>Bujnovci!Y30+Elena!Y30+Bolqrka!Y30+Gorna!Y30+Svishtov!Y30+Rosica!Y30+Gabrovo!Y30+Plachkovci!Y30+Sevlievo!Y30+Bqla!Y30+Dunav_Ruse!Y30+Silistra!Y30+Tutrakan!Y30+Seslav!Y30+Karakuz!Y30+Razgrad!Y30+Voden!Y30</f>
        <v>73853</v>
      </c>
      <c r="Z30" s="164"/>
      <c r="AA30" s="162" t="s">
        <v>26</v>
      </c>
      <c r="AB30" s="165">
        <f>Bujnovci!AB30+Elena!AB30+Bolqrka!AB30+Gorna!AB30+Svishtov!AB30+Rosica!AB30+Gabrovo!AB30+Plachkovci!AB30+Sevlievo!AB30+Bqla!AB30+Dunav_Ruse!AB30+Silistra!AB30+Tutrakan!AB30+Seslav!AB30+Karakuz!AB30+Razgrad!AB30+Voden!AB30</f>
        <v>157</v>
      </c>
      <c r="AC30" s="163">
        <f>Bujnovci!AC30+Elena!AC30+Bolqrka!AC30+Gorna!AC30+Svishtov!AC30+Rosica!AC30+Gabrovo!AC30+Plachkovci!AC30+Sevlievo!AC30+Bqla!AC30+Dunav_Ruse!AC30+Silistra!AC30+Tutrakan!AC30+Seslav!AC30+Karakuz!AC30+Razgrad!AC30+Voden!AC30</f>
        <v>9746</v>
      </c>
      <c r="AD30" s="163">
        <f>Bujnovci!AD30+Elena!AD30+Bolqrka!AD30+Gorna!AD30+Svishtov!AD30+Rosica!AD30+Gabrovo!AD30+Plachkovci!AD30+Sevlievo!AD30+Bqla!AD30+Dunav_Ruse!AD30+Silistra!AD30+Tutrakan!AD30+Seslav!AD30+Karakuz!AD30+Razgrad!AD30+Voden!AD30</f>
        <v>8760</v>
      </c>
      <c r="AE30" s="163">
        <f>Bujnovci!AE30+Elena!AE30+Bolqrka!AE30+Gorna!AE30+Svishtov!AE30+Rosica!AE30+Gabrovo!AE30+Plachkovci!AE30+Sevlievo!AE30+Bqla!AE30+Dunav_Ruse!AE30+Silistra!AE30+Tutrakan!AE30+Seslav!AE30+Karakuz!AE30+Razgrad!AE30+Voden!AE30</f>
        <v>2543</v>
      </c>
      <c r="AF30" s="163">
        <f>Bujnovci!AF30+Elena!AF30+Bolqrka!AF30+Gorna!AF30+Svishtov!AF30+Rosica!AF30+Gabrovo!AF30+Plachkovci!AF30+Sevlievo!AF30+Bqla!AF30+Dunav_Ruse!AF30+Silistra!AF30+Tutrakan!AF30+Seslav!AF30+Karakuz!AF30+Razgrad!AF30+Voden!AF30</f>
        <v>435</v>
      </c>
      <c r="AG30" s="163">
        <f>Bujnovci!AG30+Elena!AG30+Bolqrka!AG30+Gorna!AG30+Svishtov!AG30+Rosica!AG30+Gabrovo!AG30+Plachkovci!AG30+Sevlievo!AG30+Bqla!AG30+Dunav_Ruse!AG30+Silistra!AG30+Tutrakan!AG30+Seslav!AG30+Karakuz!AG30+Razgrad!AG30+Voden!AG30</f>
        <v>65</v>
      </c>
      <c r="AH30" s="163">
        <f>Bujnovci!AH30+Elena!AH30+Bolqrka!AH30+Gorna!AH30+Svishtov!AH30+Rosica!AH30+Gabrovo!AH30+Plachkovci!AH30+Sevlievo!AH30+Bqla!AH30+Dunav_Ruse!AH30+Silistra!AH30+Tutrakan!AH30+Seslav!AH30+Karakuz!AH30+Razgrad!AH30+Voden!AH30</f>
        <v>5717</v>
      </c>
      <c r="AI30" s="168"/>
      <c r="AJ30" s="163" t="s">
        <v>26</v>
      </c>
      <c r="AK30" s="165">
        <f>Bujnovci!AK30+Elena!AK30+Bolqrka!AK30+Gorna!AK30+Svishtov!AK30+Rosica!AK30+Gabrovo!AK30+Plachkovci!AK30+Sevlievo!AK30+Bqla!AK30+Dunav_Ruse!AK30+Silistra!AK30+Tutrakan!AK30+Seslav!AK30+Karakuz!AK30+Razgrad!AK30+Voden!AK30</f>
        <v>9.6999999999999993</v>
      </c>
      <c r="AL30" s="163">
        <f>Bujnovci!AL30+Elena!AL30+Bolqrka!AL30+Gorna!AL30+Svishtov!AL30+Rosica!AL30+Gabrovo!AL30+Plachkovci!AL30+Sevlievo!AL30+Bqla!AL30+Dunav_Ruse!AL30+Silistra!AL30+Tutrakan!AL30+Seslav!AL30+Karakuz!AL30+Razgrad!AL30+Voden!AL30</f>
        <v>222</v>
      </c>
      <c r="AM30" s="163">
        <f>Bujnovci!AM30+Elena!AM30+Bolqrka!AM30+Gorna!AM30+Svishtov!AM30+Rosica!AM30+Gabrovo!AM30+Plachkovci!AM30+Sevlievo!AM30+Bqla!AM30+Dunav_Ruse!AM30+Silistra!AM30+Tutrakan!AM30+Seslav!AM30+Karakuz!AM30+Razgrad!AM30+Voden!AM30</f>
        <v>197</v>
      </c>
      <c r="AN30" s="163">
        <f>Bujnovci!AN30+Elena!AN30+Bolqrka!AN30+Gorna!AN30+Svishtov!AN30+Rosica!AN30+Gabrovo!AN30+Plachkovci!AN30+Sevlievo!AN30+Bqla!AN30+Dunav_Ruse!AN30+Silistra!AN30+Tutrakan!AN30+Seslav!AN30+Karakuz!AN30+Razgrad!AN30+Voden!AN30</f>
        <v>14</v>
      </c>
      <c r="AO30" s="163">
        <f>Bujnovci!AO30+Elena!AO30+Bolqrka!AO30+Gorna!AO30+Svishtov!AO30+Rosica!AO30+Gabrovo!AO30+Plachkovci!AO30+Sevlievo!AO30+Bqla!AO30+Dunav_Ruse!AO30+Silistra!AO30+Tutrakan!AO30+Seslav!AO30+Karakuz!AO30+Razgrad!AO30+Voden!AO30</f>
        <v>2</v>
      </c>
      <c r="AP30" s="163">
        <f>Bujnovci!AP30+Elena!AP30+Bolqrka!AP30+Gorna!AP30+Svishtov!AP30+Rosica!AP30+Gabrovo!AP30+Plachkovci!AP30+Sevlievo!AP30+Bqla!AP30+Dunav_Ruse!AP30+Silistra!AP30+Tutrakan!AP30+Seslav!AP30+Karakuz!AP30+Razgrad!AP30+Voden!AP30</f>
        <v>0</v>
      </c>
      <c r="AQ30" s="163">
        <f>Bujnovci!AQ30+Elena!AQ30+Bolqrka!AQ30+Gorna!AQ30+Svishtov!AQ30+Rosica!AQ30+Gabrovo!AQ30+Plachkovci!AQ30+Sevlievo!AQ30+Bqla!AQ30+Dunav_Ruse!AQ30+Silistra!AQ30+Tutrakan!AQ30+Seslav!AQ30+Karakuz!AQ30+Razgrad!AQ30+Voden!AQ30</f>
        <v>181</v>
      </c>
      <c r="AR30" s="164"/>
      <c r="AS30" s="164"/>
    </row>
    <row r="31" spans="1:45" ht="12">
      <c r="A31" s="162" t="s">
        <v>12</v>
      </c>
      <c r="B31" s="163">
        <f t="shared" ref="B31:H31" si="25">B30/B29*100</f>
        <v>113.07392969046137</v>
      </c>
      <c r="C31" s="163">
        <f t="shared" si="25"/>
        <v>107.42787186288511</v>
      </c>
      <c r="D31" s="163">
        <f t="shared" si="25"/>
        <v>110.2527714551637</v>
      </c>
      <c r="E31" s="163">
        <f t="shared" si="25"/>
        <v>186.1695669769324</v>
      </c>
      <c r="F31" s="163">
        <f t="shared" si="25"/>
        <v>40.404512524166648</v>
      </c>
      <c r="G31" s="163">
        <f t="shared" si="25"/>
        <v>43.128964059196619</v>
      </c>
      <c r="H31" s="163">
        <f t="shared" si="25"/>
        <v>128.37057674632354</v>
      </c>
      <c r="I31" s="164"/>
      <c r="J31" s="162" t="s">
        <v>12</v>
      </c>
      <c r="K31" s="163">
        <f t="shared" ref="K31:Q31" si="26">K30/K29*100</f>
        <v>103.59434569102119</v>
      </c>
      <c r="L31" s="163">
        <f t="shared" si="26"/>
        <v>147.0614020298749</v>
      </c>
      <c r="M31" s="163">
        <f t="shared" si="26"/>
        <v>150.05236820667986</v>
      </c>
      <c r="N31" s="163">
        <f t="shared" si="26"/>
        <v>234.11042944785274</v>
      </c>
      <c r="O31" s="163">
        <f t="shared" si="26"/>
        <v>98.064787547328564</v>
      </c>
      <c r="P31" s="163">
        <f t="shared" si="26"/>
        <v>100.5722460658083</v>
      </c>
      <c r="Q31" s="163">
        <f t="shared" si="26"/>
        <v>163.28636001063549</v>
      </c>
      <c r="R31" s="162" t="s">
        <v>12</v>
      </c>
      <c r="S31" s="163">
        <f t="shared" ref="S31:Y31" si="27">S30/S29*100</f>
        <v>117.46034634949811</v>
      </c>
      <c r="T31" s="163">
        <f t="shared" si="27"/>
        <v>103.69224510263069</v>
      </c>
      <c r="U31" s="163">
        <f t="shared" si="27"/>
        <v>106.55079004369321</v>
      </c>
      <c r="V31" s="163">
        <f t="shared" si="27"/>
        <v>184.44691318838281</v>
      </c>
      <c r="W31" s="163">
        <f t="shared" si="27"/>
        <v>34.155977057997575</v>
      </c>
      <c r="X31" s="163">
        <f t="shared" si="27"/>
        <v>35.535849464691246</v>
      </c>
      <c r="Y31" s="163">
        <f t="shared" si="27"/>
        <v>125.50962314653525</v>
      </c>
      <c r="Z31" s="164"/>
      <c r="AA31" s="162" t="s">
        <v>12</v>
      </c>
      <c r="AB31" s="163">
        <f t="shared" ref="AB31:AH31" si="28">AB30/AB29*100</f>
        <v>73.40564802693099</v>
      </c>
      <c r="AC31" s="163">
        <f t="shared" si="28"/>
        <v>113.80196170014013</v>
      </c>
      <c r="AD31" s="163">
        <f t="shared" si="28"/>
        <v>109.54107790421408</v>
      </c>
      <c r="AE31" s="163">
        <f t="shared" si="28"/>
        <v>93.133125801135321</v>
      </c>
      <c r="AF31" s="163">
        <f t="shared" si="28"/>
        <v>27.956298200514141</v>
      </c>
      <c r="AG31" s="163">
        <f t="shared" si="28"/>
        <v>15.795868772782503</v>
      </c>
      <c r="AH31" s="163">
        <f t="shared" si="28"/>
        <v>173.32120660906475</v>
      </c>
      <c r="AI31" s="171"/>
      <c r="AJ31" s="202" t="s">
        <v>12</v>
      </c>
      <c r="AK31" s="163">
        <f t="shared" ref="AK31:AQ31" si="29">AK30/AK29*100</f>
        <v>24.009900990099009</v>
      </c>
      <c r="AL31" s="163">
        <f t="shared" si="29"/>
        <v>11.08891108891109</v>
      </c>
      <c r="AM31" s="163">
        <f t="shared" si="29"/>
        <v>11.747167561121049</v>
      </c>
      <c r="AN31" s="163">
        <f t="shared" si="29"/>
        <v>56.000000000000007</v>
      </c>
      <c r="AO31" s="163">
        <f t="shared" si="29"/>
        <v>1.3513513513513513</v>
      </c>
      <c r="AP31" s="163">
        <f t="shared" si="29"/>
        <v>0</v>
      </c>
      <c r="AQ31" s="163">
        <f t="shared" si="29"/>
        <v>13.049747656813265</v>
      </c>
      <c r="AR31" s="164"/>
      <c r="AS31" s="164"/>
    </row>
    <row r="32" spans="1:45" ht="12">
      <c r="A32" s="162" t="s">
        <v>27</v>
      </c>
      <c r="B32" s="165">
        <f>Bujnovci!B32+Elena!B32+Bolqrka!B32+Gorna!B32+Svishtov!B32+Rosica!B32+Gabrovo!B32+Plachkovci!B32+Sevlievo!B32+Bqla!B32+Dunav_Ruse!B32+Silistra!B32+Tutrakan!B32+Seslav!B32+Karakuz!B32+Razgrad!B32+Voden!B32</f>
        <v>233.11</v>
      </c>
      <c r="C32" s="163">
        <f>Bujnovci!C32+Elena!C32+Bolqrka!C32+Gorna!C32+Svishtov!C32+Rosica!C32+Gabrovo!C32+Plachkovci!C32+Sevlievo!C32+Bqla!C32+Dunav_Ruse!C32+Silistra!C32+Tutrakan!C32+Seslav!C32+Karakuz!C32+Razgrad!C32+Voden!C32</f>
        <v>53928</v>
      </c>
      <c r="D32" s="163">
        <f>Bujnovci!D32+Elena!D32+Bolqrka!D32+Gorna!D32+Svishtov!D32+Rosica!D32+Gabrovo!D32+Plachkovci!D32+Sevlievo!D32+Bqla!D32+Dunav_Ruse!D32+Silistra!D32+Tutrakan!D32+Seslav!D32+Karakuz!D32+Razgrad!D32+Voden!D32</f>
        <v>48462.5</v>
      </c>
      <c r="E32" s="163">
        <f>Bujnovci!E32+Elena!E32+Bolqrka!E32+Gorna!E32+Svishtov!E32+Rosica!E32+Gabrovo!E32+Plachkovci!E32+Sevlievo!E32+Bqla!E32+Dunav_Ruse!E32+Silistra!E32+Tutrakan!E32+Seslav!E32+Karakuz!E32+Razgrad!E32+Voden!E32</f>
        <v>31286.5</v>
      </c>
      <c r="F32" s="163">
        <f>Bujnovci!F32+Elena!F32+Bolqrka!F32+Gorna!F32+Svishtov!F32+Rosica!F32+Gabrovo!F32+Plachkovci!F32+Sevlievo!F32+Bqla!F32+Dunav_Ruse!F32+Silistra!F32+Tutrakan!F32+Seslav!F32+Karakuz!F32+Razgrad!F32+Voden!F32</f>
        <v>8795</v>
      </c>
      <c r="G32" s="163">
        <f>Bujnovci!G32+Elena!G32+Bolqrka!G32+Gorna!G32+Svishtov!G32+Rosica!G32+Gabrovo!G32+Plachkovci!G32+Sevlievo!G32+Bqla!G32+Dunav_Ruse!G32+Silistra!G32+Tutrakan!G32+Seslav!G32+Karakuz!G32+Razgrad!G32+Voden!G32</f>
        <v>1281</v>
      </c>
      <c r="H32" s="163">
        <f>Bujnovci!H32+Elena!H32+Bolqrka!H32+Gorna!H32+Svishtov!H32+Rosica!H32+Gabrovo!H32+Plachkovci!H32+Sevlievo!H32+Bqla!H32+Dunav_Ruse!H32+Silistra!H32+Tutrakan!H32+Seslav!H32+Karakuz!H32+Razgrad!H32+Voden!H32</f>
        <v>7098.5</v>
      </c>
      <c r="I32" s="164"/>
      <c r="J32" s="162" t="s">
        <v>27</v>
      </c>
      <c r="K32" s="165">
        <f>Bujnovci!K32+Elena!K32+Bolqrka!K32+Gorna!K32+Svishtov!K32+Rosica!K32+Gabrovo!K32+Plachkovci!K32+Sevlievo!K32+Bqla!K32+Dunav_Ruse!K32+Silistra!K32+Tutrakan!K32+Seslav!K32+Karakuz!K32+Razgrad!K32+Voden!K32</f>
        <v>2.3200000000000003</v>
      </c>
      <c r="L32" s="163">
        <f>Bujnovci!L32+Elena!L32+Bolqrka!L32+Gorna!L32+Svishtov!L32+Rosica!L32+Gabrovo!L32+Plachkovci!L32+Sevlievo!L32+Bqla!L32+Dunav_Ruse!L32+Silistra!L32+Tutrakan!L32+Seslav!L32+Karakuz!L32+Razgrad!L32+Voden!L32</f>
        <v>85.5</v>
      </c>
      <c r="M32" s="163">
        <f>Bujnovci!M32+Elena!M32+Bolqrka!M32+Gorna!M32+Svishtov!M32+Rosica!M32+Gabrovo!M32+Plachkovci!M32+Sevlievo!M32+Bqla!M32+Dunav_Ruse!M32+Silistra!M32+Tutrakan!M32+Seslav!M32+Karakuz!M32+Razgrad!M32+Voden!M32</f>
        <v>75.5</v>
      </c>
      <c r="N32" s="163">
        <f>Bujnovci!N32+Elena!N32+Bolqrka!N32+Gorna!N32+Svishtov!N32+Rosica!N32+Gabrovo!N32+Plachkovci!N32+Sevlievo!N32+Bqla!N32+Dunav_Ruse!N32+Silistra!N32+Tutrakan!N32+Seslav!N32+Karakuz!N32+Razgrad!N32+Voden!N32</f>
        <v>28.5</v>
      </c>
      <c r="O32" s="163">
        <f>Bujnovci!O32+Elena!O32+Bolqrka!O32+Gorna!O32+Svishtov!O32+Rosica!O32+Gabrovo!O32+Plachkovci!O32+Sevlievo!O32+Bqla!O32+Dunav_Ruse!O32+Silistra!O32+Tutrakan!O32+Seslav!O32+Karakuz!O32+Razgrad!O32+Voden!O32</f>
        <v>11</v>
      </c>
      <c r="P32" s="163">
        <f>Bujnovci!P32+Elena!P32+Bolqrka!P32+Gorna!P32+Svishtov!P32+Rosica!P32+Gabrovo!P32+Plachkovci!P32+Sevlievo!P32+Bqla!P32+Dunav_Ruse!P32+Silistra!P32+Tutrakan!P32+Seslav!P32+Karakuz!P32+Razgrad!P32+Voden!P32</f>
        <v>2</v>
      </c>
      <c r="Q32" s="163">
        <f>Bujnovci!Q32+Elena!Q32+Bolqrka!Q32+Gorna!Q32+Svishtov!Q32+Rosica!Q32+Gabrovo!Q32+Plachkovci!Q32+Sevlievo!Q32+Bqla!Q32+Dunav_Ruse!Q32+Silistra!Q32+Tutrakan!Q32+Seslav!Q32+Karakuz!Q32+Razgrad!Q32+Voden!Q32</f>
        <v>34</v>
      </c>
      <c r="R32" s="162" t="s">
        <v>27</v>
      </c>
      <c r="S32" s="165">
        <f>Bujnovci!S32+Elena!S32+Bolqrka!S32+Gorna!S32+Svishtov!S32+Rosica!S32+Gabrovo!S32+Plachkovci!S32+Sevlievo!S32+Bqla!S32+Dunav_Ruse!S32+Silistra!S32+Tutrakan!S32+Seslav!S32+Karakuz!S32+Razgrad!S32+Voden!S32</f>
        <v>228.69</v>
      </c>
      <c r="T32" s="163">
        <f>Bujnovci!T32+Elena!T32+Bolqrka!T32+Gorna!T32+Svishtov!T32+Rosica!T32+Gabrovo!T32+Plachkovci!T32+Sevlievo!T32+Bqla!T32+Dunav_Ruse!T32+Silistra!T32+Tutrakan!T32+Seslav!T32+Karakuz!T32+Razgrad!T32+Voden!T32</f>
        <v>53689.5</v>
      </c>
      <c r="U32" s="163">
        <f>Bujnovci!U32+Elena!U32+Bolqrka!U32+Gorna!U32+Svishtov!U32+Rosica!U32+Gabrovo!U32+Plachkovci!U32+Sevlievo!U32+Bqla!U32+Dunav_Ruse!U32+Silistra!U32+Tutrakan!U32+Seslav!U32+Karakuz!U32+Razgrad!U32+Voden!U32</f>
        <v>48248</v>
      </c>
      <c r="V32" s="163">
        <f>Bujnovci!V32+Elena!V32+Bolqrka!V32+Gorna!V32+Svishtov!V32+Rosica!V32+Gabrovo!V32+Plachkovci!V32+Sevlievo!V32+Bqla!V32+Dunav_Ruse!V32+Silistra!V32+Tutrakan!V32+Seslav!V32+Karakuz!V32+Razgrad!V32+Voden!V32</f>
        <v>31188</v>
      </c>
      <c r="W32" s="163">
        <f>Bujnovci!W32+Elena!W32+Bolqrka!W32+Gorna!W32+Svishtov!W32+Rosica!W32+Gabrovo!W32+Plachkovci!W32+Sevlievo!W32+Bqla!W32+Dunav_Ruse!W32+Silistra!W32+Tutrakan!W32+Seslav!W32+Karakuz!W32+Razgrad!W32+Voden!W32</f>
        <v>8755</v>
      </c>
      <c r="X32" s="163">
        <f>Bujnovci!X32+Elena!X32+Bolqrka!X32+Gorna!X32+Svishtov!X32+Rosica!X32+Gabrovo!X32+Plachkovci!X32+Sevlievo!X32+Bqla!X32+Dunav_Ruse!X32+Silistra!X32+Tutrakan!X32+Seslav!X32+Karakuz!X32+Razgrad!X32+Voden!X32</f>
        <v>1270</v>
      </c>
      <c r="Y32" s="163">
        <f>Bujnovci!Y32+Elena!Y32+Bolqrka!Y32+Gorna!Y32+Svishtov!Y32+Rosica!Y32+Gabrovo!Y32+Plachkovci!Y32+Sevlievo!Y32+Bqla!Y32+Dunav_Ruse!Y32+Silistra!Y32+Tutrakan!Y32+Seslav!Y32+Karakuz!Y32+Razgrad!Y32+Voden!Y32</f>
        <v>7033.5</v>
      </c>
      <c r="Z32" s="164"/>
      <c r="AA32" s="162" t="s">
        <v>27</v>
      </c>
      <c r="AB32" s="165">
        <f>Bujnovci!AB32+Elena!AB32+Bolqrka!AB32+Gorna!AB32+Svishtov!AB32+Rosica!AB32+Gabrovo!AB32+Plachkovci!AB32+Sevlievo!AB32+Bqla!AB32+Dunav_Ruse!AB32+Silistra!AB32+Tutrakan!AB32+Seslav!AB32+Karakuz!AB32+Razgrad!AB32+Voden!AB32</f>
        <v>224.54</v>
      </c>
      <c r="AC32" s="163">
        <f>Bujnovci!AC32+Elena!AC32+Bolqrka!AC32+Gorna!AC32+Svishtov!AC32+Rosica!AC32+Gabrovo!AC32+Plachkovci!AC32+Sevlievo!AC32+Bqla!AC32+Dunav_Ruse!AC32+Silistra!AC32+Tutrakan!AC32+Seslav!AC32+Karakuz!AC32+Razgrad!AC32+Voden!AC32</f>
        <v>53626.5</v>
      </c>
      <c r="AD32" s="163">
        <f>Bujnovci!AD32+Elena!AD32+Bolqrka!AD32+Gorna!AD32+Svishtov!AD32+Rosica!AD32+Gabrovo!AD32+Plachkovci!AD32+Sevlievo!AD32+Bqla!AD32+Dunav_Ruse!AD32+Silistra!AD32+Tutrakan!AD32+Seslav!AD32+Karakuz!AD32+Razgrad!AD32+Voden!AD32</f>
        <v>48179.5</v>
      </c>
      <c r="AE32" s="163">
        <f>Bujnovci!AE32+Elena!AE32+Bolqrka!AE32+Gorna!AE32+Svishtov!AE32+Rosica!AE32+Gabrovo!AE32+Plachkovci!AE32+Sevlievo!AE32+Bqla!AE32+Dunav_Ruse!AE32+Silistra!AE32+Tutrakan!AE32+Seslav!AE32+Karakuz!AE32+Razgrad!AE32+Voden!AE32</f>
        <v>31151</v>
      </c>
      <c r="AF32" s="163">
        <f>Bujnovci!AF32+Elena!AF32+Bolqrka!AF32+Gorna!AF32+Svishtov!AF32+Rosica!AF32+Gabrovo!AF32+Plachkovci!AF32+Sevlievo!AF32+Bqla!AF32+Dunav_Ruse!AF32+Silistra!AF32+Tutrakan!AF32+Seslav!AF32+Karakuz!AF32+Razgrad!AF32+Voden!AF32</f>
        <v>8744.5</v>
      </c>
      <c r="AG32" s="163">
        <f>Bujnovci!AG32+Elena!AG32+Bolqrka!AG32+Gorna!AG32+Svishtov!AG32+Rosica!AG32+Gabrovo!AG32+Plachkovci!AG32+Sevlievo!AG32+Bqla!AG32+Dunav_Ruse!AG32+Silistra!AG32+Tutrakan!AG32+Seslav!AG32+Karakuz!AG32+Razgrad!AG32+Voden!AG32</f>
        <v>1268.5</v>
      </c>
      <c r="AH32" s="163">
        <f>Bujnovci!AH32+Elena!AH32+Bolqrka!AH32+Gorna!AH32+Svishtov!AH32+Rosica!AH32+Gabrovo!AH32+Plachkovci!AH32+Sevlievo!AH32+Bqla!AH32+Dunav_Ruse!AH32+Silistra!AH32+Tutrakan!AH32+Seslav!AH32+Karakuz!AH32+Razgrad!AH32+Voden!AH32</f>
        <v>7014</v>
      </c>
      <c r="AI32" s="168"/>
      <c r="AJ32" s="163" t="s">
        <v>27</v>
      </c>
      <c r="AK32" s="165">
        <f>Bujnovci!AK32+Elena!AK32+Bolqrka!AK32+Gorna!AK32+Svishtov!AK32+Rosica!AK32+Gabrovo!AK32+Plachkovci!AK32+Sevlievo!AK32+Bqla!AK32+Dunav_Ruse!AK32+Silistra!AK32+Tutrakan!AK32+Seslav!AK32+Karakuz!AK32+Razgrad!AK32+Voden!AK32</f>
        <v>2.1</v>
      </c>
      <c r="AL32" s="163">
        <f>Bujnovci!AL32+Elena!AL32+Bolqrka!AL32+Gorna!AL32+Svishtov!AL32+Rosica!AL32+Gabrovo!AL32+Plachkovci!AL32+Sevlievo!AL32+Bqla!AL32+Dunav_Ruse!AL32+Silistra!AL32+Tutrakan!AL32+Seslav!AL32+Karakuz!AL32+Razgrad!AL32+Voden!AL32</f>
        <v>153</v>
      </c>
      <c r="AM32" s="163">
        <f>Bujnovci!AM32+Elena!AM32+Bolqrka!AM32+Gorna!AM32+Svishtov!AM32+Rosica!AM32+Gabrovo!AM32+Plachkovci!AM32+Sevlievo!AM32+Bqla!AM32+Dunav_Ruse!AM32+Silistra!AM32+Tutrakan!AM32+Seslav!AM32+Karakuz!AM32+Razgrad!AM32+Voden!AM32</f>
        <v>139</v>
      </c>
      <c r="AN32" s="163">
        <f>Bujnovci!AN32+Elena!AN32+Bolqrka!AN32+Gorna!AN32+Svishtov!AN32+Rosica!AN32+Gabrovo!AN32+Plachkovci!AN32+Sevlievo!AN32+Bqla!AN32+Dunav_Ruse!AN32+Silistra!AN32+Tutrakan!AN32+Seslav!AN32+Karakuz!AN32+Razgrad!AN32+Voden!AN32</f>
        <v>70</v>
      </c>
      <c r="AO32" s="163">
        <f>Bujnovci!AO32+Elena!AO32+Bolqrka!AO32+Gorna!AO32+Svishtov!AO32+Rosica!AO32+Gabrovo!AO32+Plachkovci!AO32+Sevlievo!AO32+Bqla!AO32+Dunav_Ruse!AO32+Silistra!AO32+Tutrakan!AO32+Seslav!AO32+Karakuz!AO32+Razgrad!AO32+Voden!AO32</f>
        <v>29</v>
      </c>
      <c r="AP32" s="163">
        <f>Bujnovci!AP32+Elena!AP32+Bolqrka!AP32+Gorna!AP32+Svishtov!AP32+Rosica!AP32+Gabrovo!AP32+Plachkovci!AP32+Sevlievo!AP32+Bqla!AP32+Dunav_Ruse!AP32+Silistra!AP32+Tutrakan!AP32+Seslav!AP32+Karakuz!AP32+Razgrad!AP32+Voden!AP32</f>
        <v>9</v>
      </c>
      <c r="AQ32" s="163">
        <f>Bujnovci!AQ32+Elena!AQ32+Bolqrka!AQ32+Gorna!AQ32+Svishtov!AQ32+Rosica!AQ32+Gabrovo!AQ32+Plachkovci!AQ32+Sevlievo!AQ32+Bqla!AQ32+Dunav_Ruse!AQ32+Silistra!AQ32+Tutrakan!AQ32+Seslav!AQ32+Karakuz!AQ32+Razgrad!AQ32+Voden!AQ32</f>
        <v>31</v>
      </c>
      <c r="AR32" s="164"/>
      <c r="AS32" s="164"/>
    </row>
    <row r="33" spans="1:46" ht="12">
      <c r="A33" s="162" t="s">
        <v>28</v>
      </c>
      <c r="B33" s="165">
        <f>Bujnovci!B33+Elena!B33+Bolqrka!B33+Gorna!B33+Svishtov!B33+Rosica!B33+Gabrovo!B33+Plachkovci!B33+Sevlievo!B33+Bqla!B33+Dunav_Ruse!B33+Silistra!B33+Tutrakan!B33+Seslav!B33+Karakuz!B33+Razgrad!B33+Voden!B33</f>
        <v>200.07999999999998</v>
      </c>
      <c r="C33" s="163">
        <f>Bujnovci!C33+Elena!C33+Bolqrka!C33+Gorna!C33+Svishtov!C33+Rosica!C33+Gabrovo!C33+Plachkovci!C33+Sevlievo!C33+Bqla!C33+Dunav_Ruse!C33+Silistra!C33+Tutrakan!C33+Seslav!C33+Karakuz!C33+Razgrad!C33+Voden!C33</f>
        <v>55359</v>
      </c>
      <c r="D33" s="163">
        <f>Bujnovci!D33+Elena!D33+Bolqrka!D33+Gorna!D33+Svishtov!D33+Rosica!D33+Gabrovo!D33+Plachkovci!D33+Sevlievo!D33+Bqla!D33+Dunav_Ruse!D33+Silistra!D33+Tutrakan!D33+Seslav!D33+Karakuz!D33+Razgrad!D33+Voden!D33</f>
        <v>53914</v>
      </c>
      <c r="E33" s="163">
        <f>Bujnovci!E33+Elena!E33+Bolqrka!E33+Gorna!E33+Svishtov!E33+Rosica!E33+Gabrovo!E33+Plachkovci!E33+Sevlievo!E33+Bqla!E33+Dunav_Ruse!E33+Silistra!E33+Tutrakan!E33+Seslav!E33+Karakuz!E33+Razgrad!E33+Voden!E33</f>
        <v>38790</v>
      </c>
      <c r="F33" s="163">
        <f>Bujnovci!F33+Elena!F33+Bolqrka!F33+Gorna!F33+Svishtov!F33+Rosica!F33+Gabrovo!F33+Plachkovci!F33+Sevlievo!F33+Bqla!F33+Dunav_Ruse!F33+Silistra!F33+Tutrakan!F33+Seslav!F33+Karakuz!F33+Razgrad!F33+Voden!F33</f>
        <v>5769</v>
      </c>
      <c r="G33" s="163">
        <f>Bujnovci!G33+Elena!G33+Bolqrka!G33+Gorna!G33+Svishtov!G33+Rosica!G33+Gabrovo!G33+Plachkovci!G33+Sevlievo!G33+Bqla!G33+Dunav_Ruse!G33+Silistra!G33+Tutrakan!G33+Seslav!G33+Karakuz!G33+Razgrad!G33+Voden!G33</f>
        <v>1566</v>
      </c>
      <c r="H33" s="163">
        <f>Bujnovci!H33+Elena!H33+Bolqrka!H33+Gorna!H33+Svishtov!H33+Rosica!H33+Gabrovo!H33+Plachkovci!H33+Sevlievo!H33+Bqla!H33+Dunav_Ruse!H33+Silistra!H33+Tutrakan!H33+Seslav!H33+Karakuz!H33+Razgrad!H33+Voden!H33</f>
        <v>7789</v>
      </c>
      <c r="I33" s="164"/>
      <c r="J33" s="162" t="s">
        <v>28</v>
      </c>
      <c r="K33" s="165">
        <f>Bujnovci!K33+Elena!K33+Bolqrka!K33+Gorna!K33+Svishtov!K33+Rosica!K33+Gabrovo!K33+Plachkovci!K33+Sevlievo!K33+Bqla!K33+Dunav_Ruse!K33+Silistra!K33+Tutrakan!K33+Seslav!K33+Karakuz!K33+Razgrad!K33+Voden!K33</f>
        <v>0.78999999999999992</v>
      </c>
      <c r="L33" s="163">
        <f>Bujnovci!L33+Elena!L33+Bolqrka!L33+Gorna!L33+Svishtov!L33+Rosica!L33+Gabrovo!L33+Plachkovci!L33+Sevlievo!L33+Bqla!L33+Dunav_Ruse!L33+Silistra!L33+Tutrakan!L33+Seslav!L33+Karakuz!L33+Razgrad!L33+Voden!L33</f>
        <v>17</v>
      </c>
      <c r="M33" s="163">
        <f>Bujnovci!M33+Elena!M33+Bolqrka!M33+Gorna!M33+Svishtov!M33+Rosica!M33+Gabrovo!M33+Plachkovci!M33+Sevlievo!M33+Bqla!M33+Dunav_Ruse!M33+Silistra!M33+Tutrakan!M33+Seslav!M33+Karakuz!M33+Razgrad!M33+Voden!M33</f>
        <v>15</v>
      </c>
      <c r="N33" s="163">
        <f>Bujnovci!N33+Elena!N33+Bolqrka!N33+Gorna!N33+Svishtov!N33+Rosica!N33+Gabrovo!N33+Plachkovci!N33+Sevlievo!N33+Bqla!N33+Dunav_Ruse!N33+Silistra!N33+Tutrakan!N33+Seslav!N33+Karakuz!N33+Razgrad!N33+Voden!N33</f>
        <v>2</v>
      </c>
      <c r="O33" s="163">
        <f>Bujnovci!O33+Elena!O33+Bolqrka!O33+Gorna!O33+Svishtov!O33+Rosica!O33+Gabrovo!O33+Plachkovci!O33+Sevlievo!O33+Bqla!O33+Dunav_Ruse!O33+Silistra!O33+Tutrakan!O33+Seslav!O33+Karakuz!O33+Razgrad!O33+Voden!O33</f>
        <v>1</v>
      </c>
      <c r="P33" s="163">
        <f>Bujnovci!P33+Elena!P33+Bolqrka!P33+Gorna!P33+Svishtov!P33+Rosica!P33+Gabrovo!P33+Plachkovci!P33+Sevlievo!P33+Bqla!P33+Dunav_Ruse!P33+Silistra!P33+Tutrakan!P33+Seslav!P33+Karakuz!P33+Razgrad!P33+Voden!P33</f>
        <v>1</v>
      </c>
      <c r="Q33" s="163">
        <f>Bujnovci!Q33+Elena!Q33+Bolqrka!Q33+Gorna!Q33+Svishtov!Q33+Rosica!Q33+Gabrovo!Q33+Plachkovci!Q33+Sevlievo!Q33+Bqla!Q33+Dunav_Ruse!Q33+Silistra!Q33+Tutrakan!Q33+Seslav!Q33+Karakuz!Q33+Razgrad!Q33+Voden!Q33</f>
        <v>11</v>
      </c>
      <c r="R33" s="162" t="s">
        <v>28</v>
      </c>
      <c r="S33" s="165">
        <f>Bujnovci!S33+Elena!S33+Bolqrka!S33+Gorna!S33+Svishtov!S33+Rosica!S33+Gabrovo!S33+Plachkovci!S33+Sevlievo!S33+Bqla!S33+Dunav_Ruse!S33+Silistra!S33+Tutrakan!S33+Seslav!S33+Karakuz!S33+Razgrad!S33+Voden!S33</f>
        <v>199.29</v>
      </c>
      <c r="T33" s="163">
        <f>Bujnovci!T33+Elena!T33+Bolqrka!T33+Gorna!T33+Svishtov!T33+Rosica!T33+Gabrovo!T33+Plachkovci!T33+Sevlievo!T33+Bqla!T33+Dunav_Ruse!T33+Silistra!T33+Tutrakan!T33+Seslav!T33+Karakuz!T33+Razgrad!T33+Voden!T33</f>
        <v>55274</v>
      </c>
      <c r="U33" s="163">
        <f>Bujnovci!U33+Elena!U33+Bolqrka!U33+Gorna!U33+Svishtov!U33+Rosica!U33+Gabrovo!U33+Plachkovci!U33+Sevlievo!U33+Bqla!U33+Dunav_Ruse!U33+Silistra!U33+Tutrakan!U33+Seslav!U33+Karakuz!U33+Razgrad!U33+Voden!U33</f>
        <v>53834</v>
      </c>
      <c r="V33" s="163">
        <f>Bujnovci!V33+Elena!V33+Bolqrka!V33+Gorna!V33+Svishtov!V33+Rosica!V33+Gabrovo!V33+Plachkovci!V33+Sevlievo!V33+Bqla!V33+Dunav_Ruse!V33+Silistra!V33+Tutrakan!V33+Seslav!V33+Karakuz!V33+Razgrad!V33+Voden!V33</f>
        <v>38783</v>
      </c>
      <c r="W33" s="163">
        <f>Bujnovci!W33+Elena!W33+Bolqrka!W33+Gorna!W33+Svishtov!W33+Rosica!W33+Gabrovo!W33+Plachkovci!W33+Sevlievo!W33+Bqla!W33+Dunav_Ruse!W33+Silistra!W33+Tutrakan!W33+Seslav!W33+Karakuz!W33+Razgrad!W33+Voden!W33</f>
        <v>5768</v>
      </c>
      <c r="X33" s="163">
        <f>Bujnovci!X33+Elena!X33+Bolqrka!X33+Gorna!X33+Svishtov!X33+Rosica!X33+Gabrovo!X33+Plachkovci!X33+Sevlievo!X33+Bqla!X33+Dunav_Ruse!X33+Silistra!X33+Tutrakan!X33+Seslav!X33+Karakuz!X33+Razgrad!X33+Voden!X33</f>
        <v>1565</v>
      </c>
      <c r="Y33" s="163">
        <f>Bujnovci!Y33+Elena!Y33+Bolqrka!Y33+Gorna!Y33+Svishtov!Y33+Rosica!Y33+Gabrovo!Y33+Plachkovci!Y33+Sevlievo!Y33+Bqla!Y33+Dunav_Ruse!Y33+Silistra!Y33+Tutrakan!Y33+Seslav!Y33+Karakuz!Y33+Razgrad!Y33+Voden!Y33</f>
        <v>7718</v>
      </c>
      <c r="Z33" s="164"/>
      <c r="AA33" s="162" t="s">
        <v>28</v>
      </c>
      <c r="AB33" s="165">
        <f>Bujnovci!AB33+Elena!AB33+Bolqrka!AB33+Gorna!AB33+Svishtov!AB33+Rosica!AB33+Gabrovo!AB33+Plachkovci!AB33+Sevlievo!AB33+Bqla!AB33+Dunav_Ruse!AB33+Silistra!AB33+Tutrakan!AB33+Seslav!AB33+Karakuz!AB33+Razgrad!AB33+Voden!AB33</f>
        <v>187.29</v>
      </c>
      <c r="AC33" s="163">
        <f>Bujnovci!AC33+Elena!AC33+Bolqrka!AC33+Gorna!AC33+Svishtov!AC33+Rosica!AC33+Gabrovo!AC33+Plachkovci!AC33+Sevlievo!AC33+Bqla!AC33+Dunav_Ruse!AC33+Silistra!AC33+Tutrakan!AC33+Seslav!AC33+Karakuz!AC33+Razgrad!AC33+Voden!AC33</f>
        <v>52881</v>
      </c>
      <c r="AD33" s="163">
        <f>Bujnovci!AD33+Elena!AD33+Bolqrka!AD33+Gorna!AD33+Svishtov!AD33+Rosica!AD33+Gabrovo!AD33+Plachkovci!AD33+Sevlievo!AD33+Bqla!AD33+Dunav_Ruse!AD33+Silistra!AD33+Tutrakan!AD33+Seslav!AD33+Karakuz!AD33+Razgrad!AD33+Voden!AD33</f>
        <v>51478</v>
      </c>
      <c r="AE33" s="163">
        <f>Bujnovci!AE33+Elena!AE33+Bolqrka!AE33+Gorna!AE33+Svishtov!AE33+Rosica!AE33+Gabrovo!AE33+Plachkovci!AE33+Sevlievo!AE33+Bqla!AE33+Dunav_Ruse!AE33+Silistra!AE33+Tutrakan!AE33+Seslav!AE33+Karakuz!AE33+Razgrad!AE33+Voden!AE33</f>
        <v>36959</v>
      </c>
      <c r="AF33" s="163">
        <f>Bujnovci!AF33+Elena!AF33+Bolqrka!AF33+Gorna!AF33+Svishtov!AF33+Rosica!AF33+Gabrovo!AF33+Plachkovci!AF33+Sevlievo!AF33+Bqla!AF33+Dunav_Ruse!AF33+Silistra!AF33+Tutrakan!AF33+Seslav!AF33+Karakuz!AF33+Razgrad!AF33+Voden!AF33</f>
        <v>5627</v>
      </c>
      <c r="AG33" s="163">
        <f>Bujnovci!AG33+Elena!AG33+Bolqrka!AG33+Gorna!AG33+Svishtov!AG33+Rosica!AG33+Gabrovo!AG33+Plachkovci!AG33+Sevlievo!AG33+Bqla!AG33+Dunav_Ruse!AG33+Silistra!AG33+Tutrakan!AG33+Seslav!AG33+Karakuz!AG33+Razgrad!AG33+Voden!AG33</f>
        <v>1587</v>
      </c>
      <c r="AH33" s="163">
        <f>Bujnovci!AH33+Elena!AH33+Bolqrka!AH33+Gorna!AH33+Svishtov!AH33+Rosica!AH33+Gabrovo!AH33+Plachkovci!AH33+Sevlievo!AH33+Bqla!AH33+Dunav_Ruse!AH33+Silistra!AH33+Tutrakan!AH33+Seslav!AH33+Karakuz!AH33+Razgrad!AH33+Voden!AH33</f>
        <v>7305</v>
      </c>
      <c r="AI33" s="168"/>
      <c r="AJ33" s="163" t="s">
        <v>28</v>
      </c>
      <c r="AK33" s="165">
        <f>Bujnovci!AK33+Elena!AK33+Bolqrka!AK33+Gorna!AK33+Svishtov!AK33+Rosica!AK33+Gabrovo!AK33+Plachkovci!AK33+Sevlievo!AK33+Bqla!AK33+Dunav_Ruse!AK33+Silistra!AK33+Tutrakan!AK33+Seslav!AK33+Karakuz!AK33+Razgrad!AK33+Voden!AK33</f>
        <v>0</v>
      </c>
      <c r="AL33" s="163">
        <f>Bujnovci!AL33+Elena!AL33+Bolqrka!AL33+Gorna!AL33+Svishtov!AL33+Rosica!AL33+Gabrovo!AL33+Plachkovci!AL33+Sevlievo!AL33+Bqla!AL33+Dunav_Ruse!AL33+Silistra!AL33+Tutrakan!AL33+Seslav!AL33+Karakuz!AL33+Razgrad!AL33+Voden!AL33</f>
        <v>68</v>
      </c>
      <c r="AM33" s="163">
        <f>Bujnovci!AM33+Elena!AM33+Bolqrka!AM33+Gorna!AM33+Svishtov!AM33+Rosica!AM33+Gabrovo!AM33+Plachkovci!AM33+Sevlievo!AM33+Bqla!AM33+Dunav_Ruse!AM33+Silistra!AM33+Tutrakan!AM33+Seslav!AM33+Karakuz!AM33+Razgrad!AM33+Voden!AM33</f>
        <v>65</v>
      </c>
      <c r="AN33" s="163">
        <f>Bujnovci!AN33+Elena!AN33+Bolqrka!AN33+Gorna!AN33+Svishtov!AN33+Rosica!AN33+Gabrovo!AN33+Plachkovci!AN33+Sevlievo!AN33+Bqla!AN33+Dunav_Ruse!AN33+Silistra!AN33+Tutrakan!AN33+Seslav!AN33+Karakuz!AN33+Razgrad!AN33+Voden!AN33</f>
        <v>5</v>
      </c>
      <c r="AO33" s="163">
        <f>Bujnovci!AO33+Elena!AO33+Bolqrka!AO33+Gorna!AO33+Svishtov!AO33+Rosica!AO33+Gabrovo!AO33+Plachkovci!AO33+Sevlievo!AO33+Bqla!AO33+Dunav_Ruse!AO33+Silistra!AO33+Tutrakan!AO33+Seslav!AO33+Karakuz!AO33+Razgrad!AO33+Voden!AO33</f>
        <v>0</v>
      </c>
      <c r="AP33" s="163">
        <f>Bujnovci!AP33+Elena!AP33+Bolqrka!AP33+Gorna!AP33+Svishtov!AP33+Rosica!AP33+Gabrovo!AP33+Plachkovci!AP33+Sevlievo!AP33+Bqla!AP33+Dunav_Ruse!AP33+Silistra!AP33+Tutrakan!AP33+Seslav!AP33+Karakuz!AP33+Razgrad!AP33+Voden!AP33</f>
        <v>0</v>
      </c>
      <c r="AQ33" s="163">
        <f>Bujnovci!AQ33+Elena!AQ33+Bolqrka!AQ33+Gorna!AQ33+Svishtov!AQ33+Rosica!AQ33+Gabrovo!AQ33+Plachkovci!AQ33+Sevlievo!AQ33+Bqla!AQ33+Dunav_Ruse!AQ33+Silistra!AQ33+Tutrakan!AQ33+Seslav!AQ33+Karakuz!AQ33+Razgrad!AQ33+Voden!AQ33</f>
        <v>60</v>
      </c>
      <c r="AR33" s="164"/>
      <c r="AS33" s="164"/>
    </row>
    <row r="34" spans="1:46" ht="12">
      <c r="A34" s="162" t="s">
        <v>12</v>
      </c>
      <c r="B34" s="163">
        <f t="shared" ref="B34:H34" si="30">B33/B32*100</f>
        <v>85.830723692677267</v>
      </c>
      <c r="C34" s="163">
        <f t="shared" si="30"/>
        <v>102.65353805073431</v>
      </c>
      <c r="D34" s="163">
        <f t="shared" si="30"/>
        <v>111.24890379159145</v>
      </c>
      <c r="E34" s="163">
        <f t="shared" si="30"/>
        <v>123.98318763684017</v>
      </c>
      <c r="F34" s="163">
        <f t="shared" si="30"/>
        <v>65.594087549744174</v>
      </c>
      <c r="G34" s="163">
        <f t="shared" si="30"/>
        <v>122.24824355971897</v>
      </c>
      <c r="H34" s="163">
        <f t="shared" si="30"/>
        <v>109.72740719870396</v>
      </c>
      <c r="I34" s="164"/>
      <c r="J34" s="162" t="s">
        <v>12</v>
      </c>
      <c r="K34" s="163">
        <f t="shared" ref="K34:Q34" si="31">K33/K32*100</f>
        <v>34.051724137931025</v>
      </c>
      <c r="L34" s="163">
        <f t="shared" si="31"/>
        <v>19.883040935672515</v>
      </c>
      <c r="M34" s="163">
        <f t="shared" si="31"/>
        <v>19.867549668874172</v>
      </c>
      <c r="N34" s="163">
        <f t="shared" si="31"/>
        <v>7.0175438596491224</v>
      </c>
      <c r="O34" s="163">
        <f t="shared" si="31"/>
        <v>9.0909090909090917</v>
      </c>
      <c r="P34" s="163">
        <f t="shared" si="31"/>
        <v>50</v>
      </c>
      <c r="Q34" s="163">
        <f t="shared" si="31"/>
        <v>32.352941176470587</v>
      </c>
      <c r="R34" s="162" t="s">
        <v>12</v>
      </c>
      <c r="S34" s="163">
        <f t="shared" ref="S34:Y34" si="32">S33/S32*100</f>
        <v>87.144168962350776</v>
      </c>
      <c r="T34" s="163">
        <f t="shared" si="32"/>
        <v>102.95122882500303</v>
      </c>
      <c r="U34" s="163">
        <f t="shared" si="32"/>
        <v>111.57768197645498</v>
      </c>
      <c r="V34" s="163">
        <f t="shared" si="32"/>
        <v>124.35231499294601</v>
      </c>
      <c r="W34" s="163">
        <f t="shared" si="32"/>
        <v>65.882352941176464</v>
      </c>
      <c r="X34" s="163">
        <f t="shared" si="32"/>
        <v>123.22834645669292</v>
      </c>
      <c r="Y34" s="163">
        <f t="shared" si="32"/>
        <v>109.73199687211203</v>
      </c>
      <c r="Z34" s="164"/>
      <c r="AA34" s="162" t="s">
        <v>12</v>
      </c>
      <c r="AB34" s="163">
        <f t="shared" ref="AB34:AH34" si="33">AB33/AB32*100</f>
        <v>83.410528190968208</v>
      </c>
      <c r="AC34" s="163">
        <f t="shared" si="33"/>
        <v>98.609829095689634</v>
      </c>
      <c r="AD34" s="163">
        <f t="shared" si="33"/>
        <v>106.8462727923702</v>
      </c>
      <c r="AE34" s="163">
        <f t="shared" si="33"/>
        <v>118.64466630284743</v>
      </c>
      <c r="AF34" s="163">
        <f t="shared" si="33"/>
        <v>64.349019383612557</v>
      </c>
      <c r="AG34" s="163">
        <f t="shared" si="33"/>
        <v>125.10839574300354</v>
      </c>
      <c r="AH34" s="163">
        <f t="shared" si="33"/>
        <v>104.14884516680925</v>
      </c>
      <c r="AI34" s="171"/>
      <c r="AJ34" s="202" t="s">
        <v>12</v>
      </c>
      <c r="AK34" s="163">
        <f t="shared" ref="AK34:AQ34" si="34">AK33/AK32*100</f>
        <v>0</v>
      </c>
      <c r="AL34" s="163">
        <f t="shared" si="34"/>
        <v>44.444444444444443</v>
      </c>
      <c r="AM34" s="163">
        <f t="shared" si="34"/>
        <v>46.762589928057551</v>
      </c>
      <c r="AN34" s="163">
        <f t="shared" si="34"/>
        <v>7.1428571428571423</v>
      </c>
      <c r="AO34" s="163">
        <f t="shared" si="34"/>
        <v>0</v>
      </c>
      <c r="AP34" s="163">
        <f t="shared" si="34"/>
        <v>0</v>
      </c>
      <c r="AQ34" s="163">
        <f t="shared" si="34"/>
        <v>193.54838709677421</v>
      </c>
      <c r="AR34" s="164"/>
      <c r="AS34" s="164"/>
    </row>
    <row r="35" spans="1:46" ht="12">
      <c r="A35" s="162" t="s">
        <v>29</v>
      </c>
      <c r="B35" s="165">
        <f>Bujnovci!B35+Elena!B35+Bolqrka!B35+Gorna!B35+Svishtov!B35+Rosica!B35+Gabrovo!B35+Plachkovci!B35+Sevlievo!B35+Bqla!B35+Dunav_Ruse!B35+Silistra!B35+Tutrakan!B35+Seslav!B35+Karakuz!B35+Razgrad!B35+Voden!B35</f>
        <v>1696.1499999999999</v>
      </c>
      <c r="C35" s="163">
        <f>Bujnovci!C35+Elena!C35+Bolqrka!C35+Gorna!C35+Svishtov!C35+Rosica!C35+Gabrovo!C35+Plachkovci!C35+Sevlievo!C35+Bqla!C35+Dunav_Ruse!C35+Silistra!C35+Tutrakan!C35+Seslav!C35+Karakuz!C35+Razgrad!C35+Voden!C35</f>
        <v>136000.5</v>
      </c>
      <c r="D35" s="163">
        <f>Bujnovci!D35+Elena!D35+Bolqrka!D35+Gorna!D35+Svishtov!D35+Rosica!D35+Gabrovo!D35+Plachkovci!D35+Sevlievo!D35+Bqla!D35+Dunav_Ruse!D35+Silistra!D35+Tutrakan!D35+Seslav!D35+Karakuz!D35+Razgrad!D35+Voden!D35</f>
        <v>119384.5</v>
      </c>
      <c r="E35" s="163">
        <f>Bujnovci!E35+Elena!E35+Bolqrka!E35+Gorna!E35+Svishtov!E35+Rosica!E35+Gabrovo!E35+Plachkovci!E35+Sevlievo!E35+Bqla!E35+Dunav_Ruse!E35+Silistra!E35+Tutrakan!E35+Seslav!E35+Karakuz!E35+Razgrad!E35+Voden!E35</f>
        <v>5581</v>
      </c>
      <c r="F35" s="163">
        <f>Bujnovci!F35+Elena!F35+Bolqrka!F35+Gorna!F35+Svishtov!F35+Rosica!F35+Gabrovo!F35+Plachkovci!F35+Sevlievo!F35+Bqla!F35+Dunav_Ruse!F35+Silistra!F35+Tutrakan!F35+Seslav!F35+Karakuz!F35+Razgrad!F35+Voden!F35</f>
        <v>32315.5</v>
      </c>
      <c r="G35" s="163">
        <f>Bujnovci!G35+Elena!G35+Bolqrka!G35+Gorna!G35+Svishtov!G35+Rosica!G35+Gabrovo!G35+Plachkovci!G35+Sevlievo!G35+Bqla!G35+Dunav_Ruse!G35+Silistra!G35+Tutrakan!G35+Seslav!G35+Karakuz!G35+Razgrad!G35+Voden!G35</f>
        <v>10732</v>
      </c>
      <c r="H35" s="163">
        <f>Bujnovci!H35+Elena!H35+Bolqrka!H35+Gorna!H35+Svishtov!H35+Rosica!H35+Gabrovo!H35+Plachkovci!H35+Sevlievo!H35+Bqla!H35+Dunav_Ruse!H35+Silistra!H35+Tutrakan!H35+Seslav!H35+Karakuz!H35+Razgrad!H35+Voden!H35</f>
        <v>70741</v>
      </c>
      <c r="I35" s="164"/>
      <c r="J35" s="162" t="s">
        <v>29</v>
      </c>
      <c r="K35" s="165">
        <f>Bujnovci!K35+Elena!K35+Bolqrka!K35+Gorna!K35+Svishtov!K35+Rosica!K35+Gabrovo!K35+Plachkovci!K35+Sevlievo!K35+Bqla!K35+Dunav_Ruse!K35+Silistra!K35+Tutrakan!K35+Seslav!K35+Karakuz!K35+Razgrad!K35+Voden!K35</f>
        <v>13.669999999999996</v>
      </c>
      <c r="L35" s="163">
        <f>Bujnovci!L35+Elena!L35+Bolqrka!L35+Gorna!L35+Svishtov!L35+Rosica!L35+Gabrovo!L35+Plachkovci!L35+Sevlievo!L35+Bqla!L35+Dunav_Ruse!L35+Silistra!L35+Tutrakan!L35+Seslav!L35+Karakuz!L35+Razgrad!L35+Voden!L35</f>
        <v>907</v>
      </c>
      <c r="M35" s="163">
        <f>Bujnovci!M35+Elena!M35+Bolqrka!M35+Gorna!M35+Svishtov!M35+Rosica!M35+Gabrovo!M35+Plachkovci!M35+Sevlievo!M35+Bqla!M35+Dunav_Ruse!M35+Silistra!M35+Tutrakan!M35+Seslav!M35+Karakuz!M35+Razgrad!M35+Voden!M35</f>
        <v>774</v>
      </c>
      <c r="N35" s="163">
        <f>Bujnovci!N35+Elena!N35+Bolqrka!N35+Gorna!N35+Svishtov!N35+Rosica!N35+Gabrovo!N35+Plachkovci!N35+Sevlievo!N35+Bqla!N35+Dunav_Ruse!N35+Silistra!N35+Tutrakan!N35+Seslav!N35+Karakuz!N35+Razgrad!N35+Voden!N35</f>
        <v>7</v>
      </c>
      <c r="O35" s="163">
        <f>Bujnovci!O35+Elena!O35+Bolqrka!O35+Gorna!O35+Svishtov!O35+Rosica!O35+Gabrovo!O35+Plachkovci!O35+Sevlievo!O35+Bqla!O35+Dunav_Ruse!O35+Silistra!O35+Tutrakan!O35+Seslav!O35+Karakuz!O35+Razgrad!O35+Voden!O35</f>
        <v>121</v>
      </c>
      <c r="P35" s="163">
        <f>Bujnovci!P35+Elena!P35+Bolqrka!P35+Gorna!P35+Svishtov!P35+Rosica!P35+Gabrovo!P35+Plachkovci!P35+Sevlievo!P35+Bqla!P35+Dunav_Ruse!P35+Silistra!P35+Tutrakan!P35+Seslav!P35+Karakuz!P35+Razgrad!P35+Voden!P35</f>
        <v>85</v>
      </c>
      <c r="Q35" s="163">
        <f>Bujnovci!Q35+Elena!Q35+Bolqrka!Q35+Gorna!Q35+Svishtov!Q35+Rosica!Q35+Gabrovo!Q35+Plachkovci!Q35+Sevlievo!Q35+Bqla!Q35+Dunav_Ruse!Q35+Silistra!Q35+Tutrakan!Q35+Seslav!Q35+Karakuz!Q35+Razgrad!Q35+Voden!Q35</f>
        <v>561</v>
      </c>
      <c r="R35" s="162" t="s">
        <v>29</v>
      </c>
      <c r="S35" s="165">
        <f>Bujnovci!S35+Elena!S35+Bolqrka!S35+Gorna!S35+Svishtov!S35+Rosica!S35+Gabrovo!S35+Plachkovci!S35+Sevlievo!S35+Bqla!S35+Dunav_Ruse!S35+Silistra!S35+Tutrakan!S35+Seslav!S35+Karakuz!S35+Razgrad!S35+Voden!S35</f>
        <v>1675.0800000000002</v>
      </c>
      <c r="T35" s="163">
        <f>Bujnovci!T35+Elena!T35+Bolqrka!T35+Gorna!T35+Svishtov!T35+Rosica!T35+Gabrovo!T35+Plachkovci!T35+Sevlievo!T35+Bqla!T35+Dunav_Ruse!T35+Silistra!T35+Tutrakan!T35+Seslav!T35+Karakuz!T35+Razgrad!T35+Voden!T35</f>
        <v>134622.5</v>
      </c>
      <c r="U35" s="163">
        <f>Bujnovci!U35+Elena!U35+Bolqrka!U35+Gorna!U35+Svishtov!U35+Rosica!U35+Gabrovo!U35+Plachkovci!U35+Sevlievo!U35+Bqla!U35+Dunav_Ruse!U35+Silistra!U35+Tutrakan!U35+Seslav!U35+Karakuz!U35+Razgrad!U35+Voden!U35</f>
        <v>118193.5</v>
      </c>
      <c r="V35" s="163">
        <f>Bujnovci!V35+Elena!V35+Bolqrka!V35+Gorna!V35+Svishtov!V35+Rosica!V35+Gabrovo!V35+Plachkovci!V35+Sevlievo!V35+Bqla!V35+Dunav_Ruse!V35+Silistra!V35+Tutrakan!V35+Seslav!V35+Karakuz!V35+Razgrad!V35+Voden!V35</f>
        <v>5563</v>
      </c>
      <c r="W35" s="163">
        <f>Bujnovci!W35+Elena!W35+Bolqrka!W35+Gorna!W35+Svishtov!W35+Rosica!W35+Gabrovo!W35+Plachkovci!W35+Sevlievo!W35+Bqla!W35+Dunav_Ruse!W35+Silistra!W35+Tutrakan!W35+Seslav!W35+Karakuz!W35+Razgrad!W35+Voden!W35</f>
        <v>32113.5</v>
      </c>
      <c r="X35" s="163">
        <f>Bujnovci!X35+Elena!X35+Bolqrka!X35+Gorna!X35+Svishtov!X35+Rosica!X35+Gabrovo!X35+Plachkovci!X35+Sevlievo!X35+Bqla!X35+Dunav_Ruse!X35+Silistra!X35+Tutrakan!X35+Seslav!X35+Karakuz!X35+Razgrad!X35+Voden!X35</f>
        <v>10586</v>
      </c>
      <c r="Y35" s="163">
        <f>Bujnovci!Y35+Elena!Y35+Bolqrka!Y35+Gorna!Y35+Svishtov!Y35+Rosica!Y35+Gabrovo!Y35+Plachkovci!Y35+Sevlievo!Y35+Bqla!Y35+Dunav_Ruse!Y35+Silistra!Y35+Tutrakan!Y35+Seslav!Y35+Karakuz!Y35+Razgrad!Y35+Voden!Y35</f>
        <v>69916</v>
      </c>
      <c r="Z35" s="164"/>
      <c r="AA35" s="162" t="s">
        <v>29</v>
      </c>
      <c r="AB35" s="165">
        <f>Bujnovci!AB35+Elena!AB35+Bolqrka!AB35+Gorna!AB35+Svishtov!AB35+Rosica!AB35+Gabrovo!AB35+Plachkovci!AB35+Sevlievo!AB35+Bqla!AB35+Dunav_Ruse!AB35+Silistra!AB35+Tutrakan!AB35+Seslav!AB35+Karakuz!AB35+Razgrad!AB35+Voden!AB35</f>
        <v>6.84</v>
      </c>
      <c r="AC35" s="163">
        <f>Bujnovci!AC35+Elena!AC35+Bolqrka!AC35+Gorna!AC35+Svishtov!AC35+Rosica!AC35+Gabrovo!AC35+Plachkovci!AC35+Sevlievo!AC35+Bqla!AC35+Dunav_Ruse!AC35+Silistra!AC35+Tutrakan!AC35+Seslav!AC35+Karakuz!AC35+Razgrad!AC35+Voden!AC35</f>
        <v>371</v>
      </c>
      <c r="AD35" s="163">
        <f>Bujnovci!AD35+Elena!AD35+Bolqrka!AD35+Gorna!AD35+Svishtov!AD35+Rosica!AD35+Gabrovo!AD35+Plachkovci!AD35+Sevlievo!AD35+Bqla!AD35+Dunav_Ruse!AD35+Silistra!AD35+Tutrakan!AD35+Seslav!AD35+Karakuz!AD35+Razgrad!AD35+Voden!AD35</f>
        <v>333</v>
      </c>
      <c r="AE35" s="163">
        <f>Bujnovci!AE35+Elena!AE35+Bolqrka!AE35+Gorna!AE35+Svishtov!AE35+Rosica!AE35+Gabrovo!AE35+Plachkovci!AE35+Sevlievo!AE35+Bqla!AE35+Dunav_Ruse!AE35+Silistra!AE35+Tutrakan!AE35+Seslav!AE35+Karakuz!AE35+Razgrad!AE35+Voden!AE35</f>
        <v>17</v>
      </c>
      <c r="AF35" s="163">
        <f>Bujnovci!AF35+Elena!AF35+Bolqrka!AF35+Gorna!AF35+Svishtov!AF35+Rosica!AF35+Gabrovo!AF35+Plachkovci!AF35+Sevlievo!AF35+Bqla!AF35+Dunav_Ruse!AF35+Silistra!AF35+Tutrakan!AF35+Seslav!AF35+Karakuz!AF35+Razgrad!AF35+Voden!AF35</f>
        <v>87.5</v>
      </c>
      <c r="AG35" s="163">
        <f>Bujnovci!AG35+Elena!AG35+Bolqrka!AG35+Gorna!AG35+Svishtov!AG35+Rosica!AG35+Gabrovo!AG35+Plachkovci!AG35+Sevlievo!AG35+Bqla!AG35+Dunav_Ruse!AG35+Silistra!AG35+Tutrakan!AG35+Seslav!AG35+Karakuz!AG35+Razgrad!AG35+Voden!AG35</f>
        <v>31</v>
      </c>
      <c r="AH35" s="163">
        <f>Bujnovci!AH35+Elena!AH35+Bolqrka!AH35+Gorna!AH35+Svishtov!AH35+Rosica!AH35+Gabrovo!AH35+Plachkovci!AH35+Sevlievo!AH35+Bqla!AH35+Dunav_Ruse!AH35+Silistra!AH35+Tutrakan!AH35+Seslav!AH35+Karakuz!AH35+Razgrad!AH35+Voden!AH35</f>
        <v>198.5</v>
      </c>
      <c r="AI35" s="168"/>
      <c r="AJ35" s="163" t="s">
        <v>29</v>
      </c>
      <c r="AK35" s="165">
        <f>Bujnovci!AK35+Elena!AK35+Bolqrka!AK35+Gorna!AK35+Svishtov!AK35+Rosica!AK35+Gabrovo!AK35+Plachkovci!AK35+Sevlievo!AK35+Bqla!AK35+Dunav_Ruse!AK35+Silistra!AK35+Tutrakan!AK35+Seslav!AK35+Karakuz!AK35+Razgrad!AK35+Voden!AK35</f>
        <v>7.3999999999999995</v>
      </c>
      <c r="AL35" s="163">
        <f>Bujnovci!AL35+Elena!AL35+Bolqrka!AL35+Gorna!AL35+Svishtov!AL35+Rosica!AL35+Gabrovo!AL35+Plachkovci!AL35+Sevlievo!AL35+Bqla!AL35+Dunav_Ruse!AL35+Silistra!AL35+Tutrakan!AL35+Seslav!AL35+Karakuz!AL35+Razgrad!AL35+Voden!AL35</f>
        <v>471</v>
      </c>
      <c r="AM35" s="163">
        <f>Bujnovci!AM35+Elena!AM35+Bolqrka!AM35+Gorna!AM35+Svishtov!AM35+Rosica!AM35+Gabrovo!AM35+Plachkovci!AM35+Sevlievo!AM35+Bqla!AM35+Dunav_Ruse!AM35+Silistra!AM35+Tutrakan!AM35+Seslav!AM35+Karakuz!AM35+Razgrad!AM35+Voden!AM35</f>
        <v>417</v>
      </c>
      <c r="AN35" s="163">
        <f>Bujnovci!AN35+Elena!AN35+Bolqrka!AN35+Gorna!AN35+Svishtov!AN35+Rosica!AN35+Gabrovo!AN35+Plachkovci!AN35+Sevlievo!AN35+Bqla!AN35+Dunav_Ruse!AN35+Silistra!AN35+Tutrakan!AN35+Seslav!AN35+Karakuz!AN35+Razgrad!AN35+Voden!AN35</f>
        <v>11</v>
      </c>
      <c r="AO35" s="163">
        <f>Bujnovci!AO35+Elena!AO35+Bolqrka!AO35+Gorna!AO35+Svishtov!AO35+Rosica!AO35+Gabrovo!AO35+Plachkovci!AO35+Sevlievo!AO35+Bqla!AO35+Dunav_Ruse!AO35+Silistra!AO35+Tutrakan!AO35+Seslav!AO35+Karakuz!AO35+Razgrad!AO35+Voden!AO35</f>
        <v>81</v>
      </c>
      <c r="AP35" s="163">
        <f>Bujnovci!AP35+Elena!AP35+Bolqrka!AP35+Gorna!AP35+Svishtov!AP35+Rosica!AP35+Gabrovo!AP35+Plachkovci!AP35+Sevlievo!AP35+Bqla!AP35+Dunav_Ruse!AP35+Silistra!AP35+Tutrakan!AP35+Seslav!AP35+Karakuz!AP35+Razgrad!AP35+Voden!AP35</f>
        <v>61</v>
      </c>
      <c r="AQ35" s="163">
        <f>Bujnovci!AQ35+Elena!AQ35+Bolqrka!AQ35+Gorna!AQ35+Svishtov!AQ35+Rosica!AQ35+Gabrovo!AQ35+Plachkovci!AQ35+Sevlievo!AQ35+Bqla!AQ35+Dunav_Ruse!AQ35+Silistra!AQ35+Tutrakan!AQ35+Seslav!AQ35+Karakuz!AQ35+Razgrad!AQ35+Voden!AQ35</f>
        <v>264</v>
      </c>
      <c r="AR35" s="164"/>
      <c r="AS35" s="164"/>
    </row>
    <row r="36" spans="1:46" ht="12">
      <c r="A36" s="162" t="s">
        <v>30</v>
      </c>
      <c r="B36" s="165">
        <f>Bujnovci!B36+Elena!B36+Bolqrka!B36+Gorna!B36+Svishtov!B36+Rosica!B36+Gabrovo!B36+Plachkovci!B36+Sevlievo!B36+Bqla!B36+Dunav_Ruse!B36+Silistra!B36+Tutrakan!B36+Seslav!B36+Karakuz!B36+Razgrad!B36+Voden!B36</f>
        <v>1263.8549999999998</v>
      </c>
      <c r="C36" s="163">
        <f>Bujnovci!C36+Elena!C36+Bolqrka!C36+Gorna!C36+Svishtov!C36+Rosica!C36+Gabrovo!C36+Plachkovci!C36+Sevlievo!C36+Bqla!C36+Dunav_Ruse!C36+Silistra!C36+Tutrakan!C36+Seslav!C36+Karakuz!C36+Razgrad!C36+Voden!C36</f>
        <v>110220</v>
      </c>
      <c r="D36" s="163">
        <f>Bujnovci!D36+Elena!D36+Bolqrka!D36+Gorna!D36+Svishtov!D36+Rosica!D36+Gabrovo!D36+Plachkovci!D36+Sevlievo!D36+Bqla!D36+Dunav_Ruse!D36+Silistra!D36+Tutrakan!D36+Seslav!D36+Karakuz!D36+Razgrad!D36+Voden!D36</f>
        <v>99463</v>
      </c>
      <c r="E36" s="163">
        <f>Bujnovci!E36+Elena!E36+Bolqrka!E36+Gorna!E36+Svishtov!E36+Rosica!E36+Gabrovo!E36+Plachkovci!E36+Sevlievo!E36+Bqla!E36+Dunav_Ruse!E36+Silistra!E36+Tutrakan!E36+Seslav!E36+Karakuz!E36+Razgrad!E36+Voden!E36</f>
        <v>3240</v>
      </c>
      <c r="F36" s="163">
        <f>Bujnovci!F36+Elena!F36+Bolqrka!F36+Gorna!F36+Svishtov!F36+Rosica!F36+Gabrovo!F36+Plachkovci!F36+Sevlievo!F36+Bqla!F36+Dunav_Ruse!F36+Silistra!F36+Tutrakan!F36+Seslav!F36+Karakuz!F36+Razgrad!F36+Voden!F36</f>
        <v>23697</v>
      </c>
      <c r="G36" s="163">
        <f>Bujnovci!G36+Elena!G36+Bolqrka!G36+Gorna!G36+Svishtov!G36+Rosica!G36+Gabrovo!G36+Plachkovci!G36+Sevlievo!G36+Bqla!G36+Dunav_Ruse!G36+Silistra!G36+Tutrakan!G36+Seslav!G36+Karakuz!G36+Razgrad!G36+Voden!G36</f>
        <v>7695</v>
      </c>
      <c r="H36" s="163">
        <f>Bujnovci!H36+Elena!H36+Bolqrka!H36+Gorna!H36+Svishtov!H36+Rosica!H36+Gabrovo!H36+Plachkovci!H36+Sevlievo!H36+Bqla!H36+Dunav_Ruse!H36+Silistra!H36+Tutrakan!H36+Seslav!H36+Karakuz!H36+Razgrad!H36+Voden!H36</f>
        <v>64831</v>
      </c>
      <c r="I36" s="164"/>
      <c r="J36" s="162" t="s">
        <v>30</v>
      </c>
      <c r="K36" s="165">
        <f>Bujnovci!K36+Elena!K36+Bolqrka!K36+Gorna!K36+Svishtov!K36+Rosica!K36+Gabrovo!K36+Plachkovci!K36+Sevlievo!K36+Bqla!K36+Dunav_Ruse!K36+Silistra!K36+Tutrakan!K36+Seslav!K36+Karakuz!K36+Razgrad!K36+Voden!K36</f>
        <v>15.46</v>
      </c>
      <c r="L36" s="163">
        <f>Bujnovci!L36+Elena!L36+Bolqrka!L36+Gorna!L36+Svishtov!L36+Rosica!L36+Gabrovo!L36+Plachkovci!L36+Sevlievo!L36+Bqla!L36+Dunav_Ruse!L36+Silistra!L36+Tutrakan!L36+Seslav!L36+Karakuz!L36+Razgrad!L36+Voden!L36</f>
        <v>2059</v>
      </c>
      <c r="M36" s="163">
        <f>Bujnovci!M36+Elena!M36+Bolqrka!M36+Gorna!M36+Svishtov!M36+Rosica!M36+Gabrovo!M36+Plachkovci!M36+Sevlievo!M36+Bqla!M36+Dunav_Ruse!M36+Silistra!M36+Tutrakan!M36+Seslav!M36+Karakuz!M36+Razgrad!M36+Voden!M36</f>
        <v>1816</v>
      </c>
      <c r="N36" s="163">
        <f>Bujnovci!N36+Elena!N36+Bolqrka!N36+Gorna!N36+Svishtov!N36+Rosica!N36+Gabrovo!N36+Plachkovci!N36+Sevlievo!N36+Bqla!N36+Dunav_Ruse!N36+Silistra!N36+Tutrakan!N36+Seslav!N36+Karakuz!N36+Razgrad!N36+Voden!N36</f>
        <v>50</v>
      </c>
      <c r="O36" s="163">
        <f>Bujnovci!O36+Elena!O36+Bolqrka!O36+Gorna!O36+Svishtov!O36+Rosica!O36+Gabrovo!O36+Plachkovci!O36+Sevlievo!O36+Bqla!O36+Dunav_Ruse!O36+Silistra!O36+Tutrakan!O36+Seslav!O36+Karakuz!O36+Razgrad!O36+Voden!O36</f>
        <v>363</v>
      </c>
      <c r="P36" s="163">
        <f>Bujnovci!P36+Elena!P36+Bolqrka!P36+Gorna!P36+Svishtov!P36+Rosica!P36+Gabrovo!P36+Plachkovci!P36+Sevlievo!P36+Bqla!P36+Dunav_Ruse!P36+Silistra!P36+Tutrakan!P36+Seslav!P36+Karakuz!P36+Razgrad!P36+Voden!P36</f>
        <v>129</v>
      </c>
      <c r="Q36" s="163">
        <f>Bujnovci!Q36+Elena!Q36+Bolqrka!Q36+Gorna!Q36+Svishtov!Q36+Rosica!Q36+Gabrovo!Q36+Plachkovci!Q36+Sevlievo!Q36+Bqla!Q36+Dunav_Ruse!Q36+Silistra!Q36+Tutrakan!Q36+Seslav!Q36+Karakuz!Q36+Razgrad!Q36+Voden!Q36</f>
        <v>1274</v>
      </c>
      <c r="R36" s="162" t="s">
        <v>30</v>
      </c>
      <c r="S36" s="165">
        <f>Bujnovci!S36+Elena!S36+Bolqrka!S36+Gorna!S36+Svishtov!S36+Rosica!S36+Gabrovo!S36+Plachkovci!S36+Sevlievo!S36+Bqla!S36+Dunav_Ruse!S36+Silistra!S36+Tutrakan!S36+Seslav!S36+Karakuz!S36+Razgrad!S36+Voden!S36</f>
        <v>1247.7949999999998</v>
      </c>
      <c r="T36" s="163">
        <f>Bujnovci!T36+Elena!T36+Bolqrka!T36+Gorna!T36+Svishtov!T36+Rosica!T36+Gabrovo!T36+Plachkovci!T36+Sevlievo!T36+Bqla!T36+Dunav_Ruse!T36+Silistra!T36+Tutrakan!T36+Seslav!T36+Karakuz!T36+Razgrad!T36+Voden!T36</f>
        <v>108117</v>
      </c>
      <c r="U36" s="163">
        <f>Bujnovci!U36+Elena!U36+Bolqrka!U36+Gorna!U36+Svishtov!U36+Rosica!U36+Gabrovo!U36+Plachkovci!U36+Sevlievo!U36+Bqla!U36+Dunav_Ruse!U36+Silistra!U36+Tutrakan!U36+Seslav!U36+Karakuz!U36+Razgrad!U36+Voden!U36</f>
        <v>97605</v>
      </c>
      <c r="V36" s="163">
        <f>Bujnovci!V36+Elena!V36+Bolqrka!V36+Gorna!V36+Svishtov!V36+Rosica!V36+Gabrovo!V36+Plachkovci!V36+Sevlievo!V36+Bqla!V36+Dunav_Ruse!V36+Silistra!V36+Tutrakan!V36+Seslav!V36+Karakuz!V36+Razgrad!V36+Voden!V36</f>
        <v>3190</v>
      </c>
      <c r="W36" s="163">
        <f>Bujnovci!W36+Elena!W36+Bolqrka!W36+Gorna!W36+Svishtov!W36+Rosica!W36+Gabrovo!W36+Plachkovci!W36+Sevlievo!W36+Bqla!W36+Dunav_Ruse!W36+Silistra!W36+Tutrakan!W36+Seslav!W36+Karakuz!W36+Razgrad!W36+Voden!W36</f>
        <v>23327</v>
      </c>
      <c r="X36" s="163">
        <f>Bujnovci!X36+Elena!X36+Bolqrka!X36+Gorna!X36+Svishtov!X36+Rosica!X36+Gabrovo!X36+Plachkovci!X36+Sevlievo!X36+Bqla!X36+Dunav_Ruse!X36+Silistra!X36+Tutrakan!X36+Seslav!X36+Karakuz!X36+Razgrad!X36+Voden!X36</f>
        <v>7565</v>
      </c>
      <c r="Y36" s="163">
        <f>Bujnovci!Y36+Elena!Y36+Bolqrka!Y36+Gorna!Y36+Svishtov!Y36+Rosica!Y36+Gabrovo!Y36+Plachkovci!Y36+Sevlievo!Y36+Bqla!Y36+Dunav_Ruse!Y36+Silistra!Y36+Tutrakan!Y36+Seslav!Y36+Karakuz!Y36+Razgrad!Y36+Voden!Y36</f>
        <v>63523</v>
      </c>
      <c r="Z36" s="164"/>
      <c r="AA36" s="162" t="s">
        <v>30</v>
      </c>
      <c r="AB36" s="165">
        <f>Bujnovci!AB36+Elena!AB36+Bolqrka!AB36+Gorna!AB36+Svishtov!AB36+Rosica!AB36+Gabrovo!AB36+Plachkovci!AB36+Sevlievo!AB36+Bqla!AB36+Dunav_Ruse!AB36+Silistra!AB36+Tutrakan!AB36+Seslav!AB36+Karakuz!AB36+Razgrad!AB36+Voden!AB36</f>
        <v>3.8200000000000003</v>
      </c>
      <c r="AC36" s="163">
        <f>Bujnovci!AC36+Elena!AC36+Bolqrka!AC36+Gorna!AC36+Svishtov!AC36+Rosica!AC36+Gabrovo!AC36+Plachkovci!AC36+Sevlievo!AC36+Bqla!AC36+Dunav_Ruse!AC36+Silistra!AC36+Tutrakan!AC36+Seslav!AC36+Karakuz!AC36+Razgrad!AC36+Voden!AC36</f>
        <v>604</v>
      </c>
      <c r="AD36" s="163">
        <f>Bujnovci!AD36+Elena!AD36+Bolqrka!AD36+Gorna!AD36+Svishtov!AD36+Rosica!AD36+Gabrovo!AD36+Plachkovci!AD36+Sevlievo!AD36+Bqla!AD36+Dunav_Ruse!AD36+Silistra!AD36+Tutrakan!AD36+Seslav!AD36+Karakuz!AD36+Razgrad!AD36+Voden!AD36</f>
        <v>536</v>
      </c>
      <c r="AE36" s="163">
        <f>Bujnovci!AE36+Elena!AE36+Bolqrka!AE36+Gorna!AE36+Svishtov!AE36+Rosica!AE36+Gabrovo!AE36+Plachkovci!AE36+Sevlievo!AE36+Bqla!AE36+Dunav_Ruse!AE36+Silistra!AE36+Tutrakan!AE36+Seslav!AE36+Karakuz!AE36+Razgrad!AE36+Voden!AE36</f>
        <v>59</v>
      </c>
      <c r="AF36" s="163">
        <f>Bujnovci!AF36+Elena!AF36+Bolqrka!AF36+Gorna!AF36+Svishtov!AF36+Rosica!AF36+Gabrovo!AF36+Plachkovci!AF36+Sevlievo!AF36+Bqla!AF36+Dunav_Ruse!AF36+Silistra!AF36+Tutrakan!AF36+Seslav!AF36+Karakuz!AF36+Razgrad!AF36+Voden!AF36</f>
        <v>91</v>
      </c>
      <c r="AG36" s="163">
        <f>Bujnovci!AG36+Elena!AG36+Bolqrka!AG36+Gorna!AG36+Svishtov!AG36+Rosica!AG36+Gabrovo!AG36+Plachkovci!AG36+Sevlievo!AG36+Bqla!AG36+Dunav_Ruse!AG36+Silistra!AG36+Tutrakan!AG36+Seslav!AG36+Karakuz!AG36+Razgrad!AG36+Voden!AG36</f>
        <v>24</v>
      </c>
      <c r="AH36" s="163">
        <f>Bujnovci!AH36+Elena!AH36+Bolqrka!AH36+Gorna!AH36+Svishtov!AH36+Rosica!AH36+Gabrovo!AH36+Plachkovci!AH36+Sevlievo!AH36+Bqla!AH36+Dunav_Ruse!AH36+Silistra!AH36+Tutrakan!AH36+Seslav!AH36+Karakuz!AH36+Razgrad!AH36+Voden!AH36</f>
        <v>362</v>
      </c>
      <c r="AI36" s="168"/>
      <c r="AJ36" s="163" t="s">
        <v>30</v>
      </c>
      <c r="AK36" s="165">
        <f>Bujnovci!AK36+Elena!AK36+Bolqrka!AK36+Gorna!AK36+Svishtov!AK36+Rosica!AK36+Gabrovo!AK36+Plachkovci!AK36+Sevlievo!AK36+Bqla!AK36+Dunav_Ruse!AK36+Silistra!AK36+Tutrakan!AK36+Seslav!AK36+Karakuz!AK36+Razgrad!AK36+Voden!AK36</f>
        <v>0.6</v>
      </c>
      <c r="AL36" s="163">
        <f>Bujnovci!AL36+Elena!AL36+Bolqrka!AL36+Gorna!AL36+Svishtov!AL36+Rosica!AL36+Gabrovo!AL36+Plachkovci!AL36+Sevlievo!AL36+Bqla!AL36+Dunav_Ruse!AL36+Silistra!AL36+Tutrakan!AL36+Seslav!AL36+Karakuz!AL36+Razgrad!AL36+Voden!AL36</f>
        <v>44</v>
      </c>
      <c r="AM36" s="163">
        <f>Bujnovci!AM36+Elena!AM36+Bolqrka!AM36+Gorna!AM36+Svishtov!AM36+Rosica!AM36+Gabrovo!AM36+Plachkovci!AM36+Sevlievo!AM36+Bqla!AM36+Dunav_Ruse!AM36+Silistra!AM36+Tutrakan!AM36+Seslav!AM36+Karakuz!AM36+Razgrad!AM36+Voden!AM36</f>
        <v>42</v>
      </c>
      <c r="AN36" s="163">
        <f>Bujnovci!AN36+Elena!AN36+Bolqrka!AN36+Gorna!AN36+Svishtov!AN36+Rosica!AN36+Gabrovo!AN36+Plachkovci!AN36+Sevlievo!AN36+Bqla!AN36+Dunav_Ruse!AN36+Silistra!AN36+Tutrakan!AN36+Seslav!AN36+Karakuz!AN36+Razgrad!AN36+Voden!AN36</f>
        <v>0</v>
      </c>
      <c r="AO36" s="163">
        <f>Bujnovci!AO36+Elena!AO36+Bolqrka!AO36+Gorna!AO36+Svishtov!AO36+Rosica!AO36+Gabrovo!AO36+Plachkovci!AO36+Sevlievo!AO36+Bqla!AO36+Dunav_Ruse!AO36+Silistra!AO36+Tutrakan!AO36+Seslav!AO36+Karakuz!AO36+Razgrad!AO36+Voden!AO36</f>
        <v>7</v>
      </c>
      <c r="AP36" s="163">
        <f>Bujnovci!AP36+Elena!AP36+Bolqrka!AP36+Gorna!AP36+Svishtov!AP36+Rosica!AP36+Gabrovo!AP36+Plachkovci!AP36+Sevlievo!AP36+Bqla!AP36+Dunav_Ruse!AP36+Silistra!AP36+Tutrakan!AP36+Seslav!AP36+Karakuz!AP36+Razgrad!AP36+Voden!AP36</f>
        <v>1</v>
      </c>
      <c r="AQ36" s="163">
        <f>Bujnovci!AQ36+Elena!AQ36+Bolqrka!AQ36+Gorna!AQ36+Svishtov!AQ36+Rosica!AQ36+Gabrovo!AQ36+Plachkovci!AQ36+Sevlievo!AQ36+Bqla!AQ36+Dunav_Ruse!AQ36+Silistra!AQ36+Tutrakan!AQ36+Seslav!AQ36+Karakuz!AQ36+Razgrad!AQ36+Voden!AQ36</f>
        <v>34</v>
      </c>
      <c r="AR36" s="164"/>
      <c r="AS36" s="164"/>
    </row>
    <row r="37" spans="1:46" ht="12">
      <c r="A37" s="162" t="s">
        <v>12</v>
      </c>
      <c r="B37" s="163">
        <f t="shared" ref="B37:H37" si="35">B36/B35*100</f>
        <v>74.513162161365443</v>
      </c>
      <c r="C37" s="163">
        <f t="shared" si="35"/>
        <v>81.043819691839374</v>
      </c>
      <c r="D37" s="163">
        <f t="shared" si="35"/>
        <v>83.313160418647314</v>
      </c>
      <c r="E37" s="163">
        <f t="shared" si="35"/>
        <v>58.054112166278451</v>
      </c>
      <c r="F37" s="163">
        <f t="shared" si="35"/>
        <v>73.330135693397906</v>
      </c>
      <c r="G37" s="163">
        <f t="shared" si="35"/>
        <v>71.701453596720086</v>
      </c>
      <c r="H37" s="163">
        <f t="shared" si="35"/>
        <v>91.645580356511786</v>
      </c>
      <c r="I37" s="164"/>
      <c r="J37" s="162"/>
      <c r="K37" s="163">
        <f t="shared" ref="K37:Q37" si="36">K36/K35*100</f>
        <v>113.09436722750551</v>
      </c>
      <c r="L37" s="163">
        <f t="shared" si="36"/>
        <v>227.01212789415655</v>
      </c>
      <c r="M37" s="163">
        <f t="shared" si="36"/>
        <v>234.62532299741602</v>
      </c>
      <c r="N37" s="163">
        <f t="shared" si="36"/>
        <v>714.28571428571433</v>
      </c>
      <c r="O37" s="163">
        <f t="shared" si="36"/>
        <v>300</v>
      </c>
      <c r="P37" s="163">
        <f t="shared" si="36"/>
        <v>151.76470588235293</v>
      </c>
      <c r="Q37" s="163">
        <f t="shared" si="36"/>
        <v>227.09447415329768</v>
      </c>
      <c r="R37" s="162"/>
      <c r="S37" s="163">
        <f t="shared" ref="S37:Y37" si="37">S36/S35*100</f>
        <v>74.491666069680235</v>
      </c>
      <c r="T37" s="163">
        <f t="shared" si="37"/>
        <v>80.311240691563441</v>
      </c>
      <c r="U37" s="163">
        <f t="shared" si="37"/>
        <v>82.580683370912951</v>
      </c>
      <c r="V37" s="163">
        <f t="shared" si="37"/>
        <v>57.343160165378393</v>
      </c>
      <c r="W37" s="163">
        <f t="shared" si="37"/>
        <v>72.639232721441132</v>
      </c>
      <c r="X37" s="163">
        <f t="shared" si="37"/>
        <v>71.46230870961648</v>
      </c>
      <c r="Y37" s="163">
        <f t="shared" si="37"/>
        <v>90.856170261456597</v>
      </c>
      <c r="Z37" s="164"/>
      <c r="AA37" s="162"/>
      <c r="AB37" s="163">
        <f t="shared" ref="AB37:AH37" si="38">AB36/AB35*100</f>
        <v>55.847953216374279</v>
      </c>
      <c r="AC37" s="163">
        <f t="shared" si="38"/>
        <v>162.8032345013477</v>
      </c>
      <c r="AD37" s="163">
        <f t="shared" si="38"/>
        <v>160.96096096096096</v>
      </c>
      <c r="AE37" s="163">
        <f t="shared" si="38"/>
        <v>347.05882352941177</v>
      </c>
      <c r="AF37" s="163">
        <f t="shared" si="38"/>
        <v>104</v>
      </c>
      <c r="AG37" s="163">
        <f t="shared" si="38"/>
        <v>77.41935483870968</v>
      </c>
      <c r="AH37" s="163">
        <f t="shared" si="38"/>
        <v>182.36775818639799</v>
      </c>
      <c r="AI37" s="171"/>
      <c r="AJ37" s="202"/>
      <c r="AK37" s="163">
        <f t="shared" ref="AK37:AQ37" si="39">AK36/AK35*100</f>
        <v>8.1081081081081088</v>
      </c>
      <c r="AL37" s="163">
        <f t="shared" si="39"/>
        <v>9.3418259023354562</v>
      </c>
      <c r="AM37" s="163">
        <f t="shared" si="39"/>
        <v>10.071942446043165</v>
      </c>
      <c r="AN37" s="163">
        <f t="shared" si="39"/>
        <v>0</v>
      </c>
      <c r="AO37" s="163">
        <f t="shared" si="39"/>
        <v>8.6419753086419746</v>
      </c>
      <c r="AP37" s="163">
        <f t="shared" si="39"/>
        <v>1.639344262295082</v>
      </c>
      <c r="AQ37" s="163">
        <f t="shared" si="39"/>
        <v>12.878787878787879</v>
      </c>
      <c r="AR37" s="164"/>
      <c r="AS37" s="164"/>
    </row>
    <row r="38" spans="1:46" ht="12">
      <c r="A38" s="162" t="s">
        <v>31</v>
      </c>
      <c r="B38" s="165">
        <f>Bujnovci!B38+Elena!B38+Bolqrka!B38+Gorna!B38+Svishtov!B38+Rosica!B38+Gabrovo!B38+Plachkovci!B38+Sevlievo!B38+Bqla!B38+Dunav_Ruse!B38+Silistra!B38+Tutrakan!B38+Seslav!B38+Karakuz!B38+Razgrad!B38+Voden!B38</f>
        <v>2686.17</v>
      </c>
      <c r="C38" s="163">
        <f>Bujnovci!C38+Elena!C38+Bolqrka!C38+Gorna!C38+Svishtov!C38+Rosica!C38+Gabrovo!C38+Plachkovci!C38+Sevlievo!C38+Bqla!C38+Dunav_Ruse!C38+Silistra!C38+Tutrakan!C38+Seslav!C38+Karakuz!C38+Razgrad!C38+Voden!C38</f>
        <v>118411</v>
      </c>
      <c r="D38" s="163">
        <f>Bujnovci!D38+Elena!D38+Bolqrka!D38+Gorna!D38+Svishtov!D38+Rosica!D38+Gabrovo!D38+Plachkovci!D38+Sevlievo!D38+Bqla!D38+Dunav_Ruse!D38+Silistra!D38+Tutrakan!D38+Seslav!D38+Karakuz!D38+Razgrad!D38+Voden!D38</f>
        <v>99060</v>
      </c>
      <c r="E38" s="163">
        <f>Bujnovci!E38+Elena!E38+Bolqrka!E38+Gorna!E38+Svishtov!E38+Rosica!E38+Gabrovo!E38+Plachkovci!E38+Sevlievo!E38+Bqla!E38+Dunav_Ruse!E38+Silistra!E38+Tutrakan!E38+Seslav!E38+Karakuz!E38+Razgrad!E38+Voden!E38</f>
        <v>15379</v>
      </c>
      <c r="F38" s="163">
        <f>Bujnovci!F38+Elena!F38+Bolqrka!F38+Gorna!F38+Svishtov!F38+Rosica!F38+Gabrovo!F38+Plachkovci!F38+Sevlievo!F38+Bqla!F38+Dunav_Ruse!F38+Silistra!F38+Tutrakan!F38+Seslav!F38+Karakuz!F38+Razgrad!F38+Voden!F38</f>
        <v>24346.5</v>
      </c>
      <c r="G38" s="163">
        <f>Bujnovci!G38+Elena!G38+Bolqrka!G38+Gorna!G38+Svishtov!G38+Rosica!G38+Gabrovo!G38+Plachkovci!G38+Sevlievo!G38+Bqla!G38+Dunav_Ruse!G38+Silistra!G38+Tutrakan!G38+Seslav!G38+Karakuz!G38+Razgrad!G38+Voden!G38</f>
        <v>6712</v>
      </c>
      <c r="H38" s="163">
        <f>Bujnovci!H38+Elena!H38+Bolqrka!H38+Gorna!H38+Svishtov!H38+Rosica!H38+Gabrovo!H38+Plachkovci!H38+Sevlievo!H38+Bqla!H38+Dunav_Ruse!H38+Silistra!H38+Tutrakan!H38+Seslav!H38+Karakuz!H38+Razgrad!H38+Voden!H38</f>
        <v>52590.5</v>
      </c>
      <c r="I38" s="164"/>
      <c r="J38" s="162" t="s">
        <v>31</v>
      </c>
      <c r="K38" s="165">
        <f>Bujnovci!K38+Elena!K38+Bolqrka!K38+Gorna!K38+Svishtov!K38+Rosica!K38+Gabrovo!K38+Plachkovci!K38+Sevlievo!K38+Bqla!K38+Dunav_Ruse!K38+Silistra!K38+Tutrakan!K38+Seslav!K38+Karakuz!K38+Razgrad!K38+Voden!K38</f>
        <v>1484.4199999999996</v>
      </c>
      <c r="L38" s="163">
        <f>Bujnovci!L38+Elena!L38+Bolqrka!L38+Gorna!L38+Svishtov!L38+Rosica!L38+Gabrovo!L38+Plachkovci!L38+Sevlievo!L38+Bqla!L38+Dunav_Ruse!L38+Silistra!L38+Tutrakan!L38+Seslav!L38+Karakuz!L38+Razgrad!L38+Voden!L38</f>
        <v>50023</v>
      </c>
      <c r="M38" s="163">
        <f>Bujnovci!M38+Elena!M38+Bolqrka!M38+Gorna!M38+Svishtov!M38+Rosica!M38+Gabrovo!M38+Plachkovci!M38+Sevlievo!M38+Bqla!M38+Dunav_Ruse!M38+Silistra!M38+Tutrakan!M38+Seslav!M38+Karakuz!M38+Razgrad!M38+Voden!M38</f>
        <v>41884.5</v>
      </c>
      <c r="N38" s="163">
        <f>Bujnovci!N38+Elena!N38+Bolqrka!N38+Gorna!N38+Svishtov!N38+Rosica!N38+Gabrovo!N38+Plachkovci!N38+Sevlievo!N38+Bqla!N38+Dunav_Ruse!N38+Silistra!N38+Tutrakan!N38+Seslav!N38+Karakuz!N38+Razgrad!N38+Voden!N38</f>
        <v>4046.5</v>
      </c>
      <c r="O38" s="163">
        <f>Bujnovci!O38+Elena!O38+Bolqrka!O38+Gorna!O38+Svishtov!O38+Rosica!O38+Gabrovo!O38+Plachkovci!O38+Sevlievo!O38+Bqla!O38+Dunav_Ruse!O38+Silistra!O38+Tutrakan!O38+Seslav!O38+Karakuz!O38+Razgrad!O38+Voden!O38</f>
        <v>12097</v>
      </c>
      <c r="P38" s="163">
        <f>Bujnovci!P38+Elena!P38+Bolqrka!P38+Gorna!P38+Svishtov!P38+Rosica!P38+Gabrovo!P38+Plachkovci!P38+Sevlievo!P38+Bqla!P38+Dunav_Ruse!P38+Silistra!P38+Tutrakan!P38+Seslav!P38+Karakuz!P38+Razgrad!P38+Voden!P38</f>
        <v>3477.5</v>
      </c>
      <c r="Q38" s="163">
        <f>Bujnovci!Q38+Elena!Q38+Bolqrka!Q38+Gorna!Q38+Svishtov!Q38+Rosica!Q38+Gabrovo!Q38+Plachkovci!Q38+Sevlievo!Q38+Bqla!Q38+Dunav_Ruse!Q38+Silistra!Q38+Tutrakan!Q38+Seslav!Q38+Karakuz!Q38+Razgrad!Q38+Voden!Q38</f>
        <v>22244.5</v>
      </c>
      <c r="R38" s="162" t="s">
        <v>31</v>
      </c>
      <c r="S38" s="165">
        <f>Bujnovci!S38+Elena!S38+Bolqrka!S38+Gorna!S38+Svishtov!S38+Rosica!S38+Gabrovo!S38+Plachkovci!S38+Sevlievo!S38+Bqla!S38+Dunav_Ruse!S38+Silistra!S38+Tutrakan!S38+Seslav!S38+Karakuz!S38+Razgrad!S38+Voden!S38</f>
        <v>1044.0500000000002</v>
      </c>
      <c r="T38" s="163">
        <f>Bujnovci!T38+Elena!T38+Bolqrka!T38+Gorna!T38+Svishtov!T38+Rosica!T38+Gabrovo!T38+Plachkovci!T38+Sevlievo!T38+Bqla!T38+Dunav_Ruse!T38+Silistra!T38+Tutrakan!T38+Seslav!T38+Karakuz!T38+Razgrad!T38+Voden!T38</f>
        <v>64442</v>
      </c>
      <c r="U38" s="163">
        <f>Bujnovci!U38+Elena!U38+Bolqrka!U38+Gorna!U38+Svishtov!U38+Rosica!U38+Gabrovo!U38+Plachkovci!U38+Sevlievo!U38+Bqla!U38+Dunav_Ruse!U38+Silistra!U38+Tutrakan!U38+Seslav!U38+Karakuz!U38+Razgrad!U38+Voden!U38</f>
        <v>53840.5</v>
      </c>
      <c r="V38" s="163">
        <f>Bujnovci!V38+Elena!V38+Bolqrka!V38+Gorna!V38+Svishtov!V38+Rosica!V38+Gabrovo!V38+Plachkovci!V38+Sevlievo!V38+Bqla!V38+Dunav_Ruse!V38+Silistra!V38+Tutrakan!V38+Seslav!V38+Karakuz!V38+Razgrad!V38+Voden!V38</f>
        <v>11244.5</v>
      </c>
      <c r="W38" s="163">
        <f>Bujnovci!W38+Elena!W38+Bolqrka!W38+Gorna!W38+Svishtov!W38+Rosica!W38+Gabrovo!W38+Plachkovci!W38+Sevlievo!W38+Bqla!W38+Dunav_Ruse!W38+Silistra!W38+Tutrakan!W38+Seslav!W38+Karakuz!W38+Razgrad!W38+Voden!W38</f>
        <v>11843.5</v>
      </c>
      <c r="X38" s="163">
        <f>Bujnovci!X38+Elena!X38+Bolqrka!X38+Gorna!X38+Svishtov!X38+Rosica!X38+Gabrovo!X38+Plachkovci!X38+Sevlievo!X38+Bqla!X38+Dunav_Ruse!X38+Silistra!X38+Tutrakan!X38+Seslav!X38+Karakuz!X38+Razgrad!X38+Voden!X38</f>
        <v>2962.5</v>
      </c>
      <c r="Y38" s="163">
        <f>Bujnovci!Y38+Elena!Y38+Bolqrka!Y38+Gorna!Y38+Svishtov!Y38+Rosica!Y38+Gabrovo!Y38+Plachkovci!Y38+Sevlievo!Y38+Bqla!Y38+Dunav_Ruse!Y38+Silistra!Y38+Tutrakan!Y38+Seslav!Y38+Karakuz!Y38+Razgrad!Y38+Voden!Y38</f>
        <v>27777</v>
      </c>
      <c r="AA38" s="162" t="s">
        <v>31</v>
      </c>
      <c r="AB38" s="165">
        <f>Bujnovci!AB38+Elena!AB38+Bolqrka!AB38+Gorna!AB38+Svishtov!AB38+Rosica!AB38+Gabrovo!AB38+Plachkovci!AB38+Sevlievo!AB38+Bqla!AB38+Dunav_Ruse!AB38+Silistra!AB38+Tutrakan!AB38+Seslav!AB38+Karakuz!AB38+Razgrad!AB38+Voden!AB38</f>
        <v>415</v>
      </c>
      <c r="AC38" s="163">
        <f>Bujnovci!AC38+Elena!AC38+Bolqrka!AC38+Gorna!AC38+Svishtov!AC38+Rosica!AC38+Gabrovo!AC38+Plachkovci!AC38+Sevlievo!AC38+Bqla!AC38+Dunav_Ruse!AC38+Silistra!AC38+Tutrakan!AC38+Seslav!AC38+Karakuz!AC38+Razgrad!AC38+Voden!AC38</f>
        <v>35703.5</v>
      </c>
      <c r="AD38" s="163">
        <f>Bujnovci!AD38+Elena!AD38+Bolqrka!AD38+Gorna!AD38+Svishtov!AD38+Rosica!AD38+Gabrovo!AD38+Plachkovci!AD38+Sevlievo!AD38+Bqla!AD38+Dunav_Ruse!AD38+Silistra!AD38+Tutrakan!AD38+Seslav!AD38+Karakuz!AD38+Razgrad!AD38+Voden!AD38</f>
        <v>30962</v>
      </c>
      <c r="AE38" s="163">
        <f>Bujnovci!AE38+Elena!AE38+Bolqrka!AE38+Gorna!AE38+Svishtov!AE38+Rosica!AE38+Gabrovo!AE38+Plachkovci!AE38+Sevlievo!AE38+Bqla!AE38+Dunav_Ruse!AE38+Silistra!AE38+Tutrakan!AE38+Seslav!AE38+Karakuz!AE38+Razgrad!AE38+Voden!AE38</f>
        <v>8522.5</v>
      </c>
      <c r="AF38" s="163">
        <f>Bujnovci!AF38+Elena!AF38+Bolqrka!AF38+Gorna!AF38+Svishtov!AF38+Rosica!AF38+Gabrovo!AF38+Plachkovci!AF38+Sevlievo!AF38+Bqla!AF38+Dunav_Ruse!AF38+Silistra!AF38+Tutrakan!AF38+Seslav!AF38+Karakuz!AF38+Razgrad!AF38+Voden!AF38</f>
        <v>7095</v>
      </c>
      <c r="AG38" s="163">
        <f>Bujnovci!AG38+Elena!AG38+Bolqrka!AG38+Gorna!AG38+Svishtov!AG38+Rosica!AG38+Gabrovo!AG38+Plachkovci!AG38+Sevlievo!AG38+Bqla!AG38+Dunav_Ruse!AG38+Silistra!AG38+Tutrakan!AG38+Seslav!AG38+Karakuz!AG38+Razgrad!AG38+Voden!AG38</f>
        <v>1643</v>
      </c>
      <c r="AH38" s="163">
        <f>Bujnovci!AH38+Elena!AH38+Bolqrka!AH38+Gorna!AH38+Svishtov!AH38+Rosica!AH38+Gabrovo!AH38+Plachkovci!AH38+Sevlievo!AH38+Bqla!AH38+Dunav_Ruse!AH38+Silistra!AH38+Tutrakan!AH38+Seslav!AH38+Karakuz!AH38+Razgrad!AH38+Voden!AH38</f>
        <v>13698.5</v>
      </c>
      <c r="AI38" s="168"/>
      <c r="AJ38" s="163" t="s">
        <v>31</v>
      </c>
      <c r="AK38" s="165">
        <f>Bujnovci!AK38+Elena!AK38+Bolqrka!AK38+Gorna!AK38+Svishtov!AK38+Rosica!AK38+Gabrovo!AK38+Plachkovci!AK38+Sevlievo!AK38+Bqla!AK38+Dunav_Ruse!AK38+Silistra!AK38+Tutrakan!AK38+Seslav!AK38+Karakuz!AK38+Razgrad!AK38+Voden!AK38</f>
        <v>157.70000000000002</v>
      </c>
      <c r="AL38" s="163">
        <f>Bujnovci!AL38+Elena!AL38+Bolqrka!AL38+Gorna!AL38+Svishtov!AL38+Rosica!AL38+Gabrovo!AL38+Plachkovci!AL38+Sevlievo!AL38+Bqla!AL38+Dunav_Ruse!AL38+Silistra!AL38+Tutrakan!AL38+Seslav!AL38+Karakuz!AL38+Razgrad!AL38+Voden!AL38</f>
        <v>3946</v>
      </c>
      <c r="AM38" s="163">
        <f>Bujnovci!AM38+Elena!AM38+Bolqrka!AM38+Gorna!AM38+Svishtov!AM38+Rosica!AM38+Gabrovo!AM38+Plachkovci!AM38+Sevlievo!AM38+Bqla!AM38+Dunav_Ruse!AM38+Silistra!AM38+Tutrakan!AM38+Seslav!AM38+Karakuz!AM38+Razgrad!AM38+Voden!AM38</f>
        <v>3335</v>
      </c>
      <c r="AN38" s="163">
        <f>Bujnovci!AN38+Elena!AN38+Bolqrka!AN38+Gorna!AN38+Svishtov!AN38+Rosica!AN38+Gabrovo!AN38+Plachkovci!AN38+Sevlievo!AN38+Bqla!AN38+Dunav_Ruse!AN38+Silistra!AN38+Tutrakan!AN38+Seslav!AN38+Karakuz!AN38+Razgrad!AN38+Voden!AN38</f>
        <v>88</v>
      </c>
      <c r="AO38" s="163">
        <f>Bujnovci!AO38+Elena!AO38+Bolqrka!AO38+Gorna!AO38+Svishtov!AO38+Rosica!AO38+Gabrovo!AO38+Plachkovci!AO38+Sevlievo!AO38+Bqla!AO38+Dunav_Ruse!AO38+Silistra!AO38+Tutrakan!AO38+Seslav!AO38+Karakuz!AO38+Razgrad!AO38+Voden!AO38</f>
        <v>406</v>
      </c>
      <c r="AP38" s="163">
        <f>Bujnovci!AP38+Elena!AP38+Bolqrka!AP38+Gorna!AP38+Svishtov!AP38+Rosica!AP38+Gabrovo!AP38+Plachkovci!AP38+Sevlievo!AP38+Bqla!AP38+Dunav_Ruse!AP38+Silistra!AP38+Tutrakan!AP38+Seslav!AP38+Karakuz!AP38+Razgrad!AP38+Voden!AP38</f>
        <v>272</v>
      </c>
      <c r="AQ38" s="163">
        <f>Bujnovci!AQ38+Elena!AQ38+Bolqrka!AQ38+Gorna!AQ38+Svishtov!AQ38+Rosica!AQ38+Gabrovo!AQ38+Plachkovci!AQ38+Sevlievo!AQ38+Bqla!AQ38+Dunav_Ruse!AQ38+Silistra!AQ38+Tutrakan!AQ38+Seslav!AQ38+Karakuz!AQ38+Razgrad!AQ38+Voden!AQ38</f>
        <v>2569</v>
      </c>
      <c r="AR38" s="164"/>
      <c r="AS38" s="164"/>
    </row>
    <row r="39" spans="1:46" ht="12">
      <c r="A39" s="162" t="s">
        <v>32</v>
      </c>
      <c r="B39" s="165">
        <f>Bujnovci!B39+Elena!B39+Bolqrka!B39+Gorna!B39+Svishtov!B39+Rosica!B39+Gabrovo!B39+Plachkovci!B39+Sevlievo!B39+Bqla!B39+Dunav_Ruse!B39+Silistra!B39+Tutrakan!B39+Seslav!B39+Karakuz!B39+Razgrad!B39+Voden!B39</f>
        <v>2014.9500000000003</v>
      </c>
      <c r="C39" s="163">
        <f>Bujnovci!C39+Elena!C39+Bolqrka!C39+Gorna!C39+Svishtov!C39+Rosica!C39+Gabrovo!C39+Plachkovci!C39+Sevlievo!C39+Bqla!C39+Dunav_Ruse!C39+Silistra!C39+Tutrakan!C39+Seslav!C39+Karakuz!C39+Razgrad!C39+Voden!C39</f>
        <v>112450</v>
      </c>
      <c r="D39" s="163">
        <f>Bujnovci!D39+Elena!D39+Bolqrka!D39+Gorna!D39+Svishtov!D39+Rosica!D39+Gabrovo!D39+Plachkovci!D39+Sevlievo!D39+Bqla!D39+Dunav_Ruse!D39+Silistra!D39+Tutrakan!D39+Seslav!D39+Karakuz!D39+Razgrad!D39+Voden!D39</f>
        <v>98489</v>
      </c>
      <c r="E39" s="163">
        <f>Bujnovci!E39+Elena!E39+Bolqrka!E39+Gorna!E39+Svishtov!E39+Rosica!E39+Gabrovo!E39+Plachkovci!E39+Sevlievo!E39+Bqla!E39+Dunav_Ruse!E39+Silistra!E39+Tutrakan!E39+Seslav!E39+Karakuz!E39+Razgrad!E39+Voden!E39</f>
        <v>12763</v>
      </c>
      <c r="F39" s="163">
        <f>Bujnovci!F39+Elena!F39+Bolqrka!F39+Gorna!F39+Svishtov!F39+Rosica!F39+Gabrovo!F39+Plachkovci!F39+Sevlievo!F39+Bqla!F39+Dunav_Ruse!F39+Silistra!F39+Tutrakan!F39+Seslav!F39+Karakuz!F39+Razgrad!F39+Voden!F39</f>
        <v>12850</v>
      </c>
      <c r="G39" s="163">
        <f>Bujnovci!G39+Elena!G39+Bolqrka!G39+Gorna!G39+Svishtov!G39+Rosica!G39+Gabrovo!G39+Plachkovci!G39+Sevlievo!G39+Bqla!G39+Dunav_Ruse!G39+Silistra!G39+Tutrakan!G39+Seslav!G39+Karakuz!G39+Razgrad!G39+Voden!G39</f>
        <v>2395</v>
      </c>
      <c r="H39" s="163">
        <f>Bujnovci!H39+Elena!H39+Bolqrka!H39+Gorna!H39+Svishtov!H39+Rosica!H39+Gabrovo!H39+Plachkovci!H39+Sevlievo!H39+Bqla!H39+Dunav_Ruse!H39+Silistra!H39+Tutrakan!H39+Seslav!H39+Karakuz!H39+Razgrad!H39+Voden!H39</f>
        <v>70481</v>
      </c>
      <c r="I39" s="164"/>
      <c r="J39" s="162" t="s">
        <v>32</v>
      </c>
      <c r="K39" s="165">
        <f>Bujnovci!K39+Elena!K39+Bolqrka!K39+Gorna!K39+Svishtov!K39+Rosica!K39+Gabrovo!K39+Plachkovci!K39+Sevlievo!K39+Bqla!K39+Dunav_Ruse!K39+Silistra!K39+Tutrakan!K39+Seslav!K39+Karakuz!K39+Razgrad!K39+Voden!K39</f>
        <v>1064.4000000000001</v>
      </c>
      <c r="L39" s="163">
        <f>Bujnovci!L39+Elena!L39+Bolqrka!L39+Gorna!L39+Svishtov!L39+Rosica!L39+Gabrovo!L39+Plachkovci!L39+Sevlievo!L39+Bqla!L39+Dunav_Ruse!L39+Silistra!L39+Tutrakan!L39+Seslav!L39+Karakuz!L39+Razgrad!L39+Voden!L39</f>
        <v>44702</v>
      </c>
      <c r="M39" s="163">
        <f>Bujnovci!M39+Elena!M39+Bolqrka!M39+Gorna!M39+Svishtov!M39+Rosica!M39+Gabrovo!M39+Plachkovci!M39+Sevlievo!M39+Bqla!M39+Dunav_Ruse!M39+Silistra!M39+Tutrakan!M39+Seslav!M39+Karakuz!M39+Razgrad!M39+Voden!M39</f>
        <v>40446</v>
      </c>
      <c r="N39" s="163">
        <f>Bujnovci!N39+Elena!N39+Bolqrka!N39+Gorna!N39+Svishtov!N39+Rosica!N39+Gabrovo!N39+Plachkovci!N39+Sevlievo!N39+Bqla!N39+Dunav_Ruse!N39+Silistra!N39+Tutrakan!N39+Seslav!N39+Karakuz!N39+Razgrad!N39+Voden!N39</f>
        <v>4103</v>
      </c>
      <c r="O39" s="163">
        <f>Bujnovci!O39+Elena!O39+Bolqrka!O39+Gorna!O39+Svishtov!O39+Rosica!O39+Gabrovo!O39+Plachkovci!O39+Sevlievo!O39+Bqla!O39+Dunav_Ruse!O39+Silistra!O39+Tutrakan!O39+Seslav!O39+Karakuz!O39+Razgrad!O39+Voden!O39</f>
        <v>5710</v>
      </c>
      <c r="P39" s="163">
        <f>Bujnovci!P39+Elena!P39+Bolqrka!P39+Gorna!P39+Svishtov!P39+Rosica!P39+Gabrovo!P39+Plachkovci!P39+Sevlievo!P39+Bqla!P39+Dunav_Ruse!P39+Silistra!P39+Tutrakan!P39+Seslav!P39+Karakuz!P39+Razgrad!P39+Voden!P39</f>
        <v>937</v>
      </c>
      <c r="Q39" s="163">
        <f>Bujnovci!Q39+Elena!Q39+Bolqrka!Q39+Gorna!Q39+Svishtov!Q39+Rosica!Q39+Gabrovo!Q39+Plachkovci!Q39+Sevlievo!Q39+Bqla!Q39+Dunav_Ruse!Q39+Silistra!Q39+Tutrakan!Q39+Seslav!Q39+Karakuz!Q39+Razgrad!Q39+Voden!Q39</f>
        <v>29696</v>
      </c>
      <c r="R39" s="162" t="s">
        <v>32</v>
      </c>
      <c r="S39" s="165">
        <f>Bujnovci!S39+Elena!S39+Bolqrka!S39+Gorna!S39+Svishtov!S39+Rosica!S39+Gabrovo!S39+Plachkovci!S39+Sevlievo!S39+Bqla!S39+Dunav_Ruse!S39+Silistra!S39+Tutrakan!S39+Seslav!S39+Karakuz!S39+Razgrad!S39+Voden!S39</f>
        <v>934.95</v>
      </c>
      <c r="T39" s="163">
        <f>Bujnovci!T39+Elena!T39+Bolqrka!T39+Gorna!T39+Svishtov!T39+Rosica!T39+Gabrovo!T39+Plachkovci!T39+Sevlievo!T39+Bqla!T39+Dunav_Ruse!T39+Silistra!T39+Tutrakan!T39+Seslav!T39+Karakuz!T39+Razgrad!T39+Voden!T39</f>
        <v>65768</v>
      </c>
      <c r="U39" s="163">
        <f>Bujnovci!U39+Elena!U39+Bolqrka!U39+Gorna!U39+Svishtov!U39+Rosica!U39+Gabrovo!U39+Plachkovci!U39+Sevlievo!U39+Bqla!U39+Dunav_Ruse!U39+Silistra!U39+Tutrakan!U39+Seslav!U39+Karakuz!U39+Razgrad!U39+Voden!U39</f>
        <v>56160</v>
      </c>
      <c r="V39" s="163">
        <f>Bujnovci!V39+Elena!V39+Bolqrka!V39+Gorna!V39+Svishtov!V39+Rosica!V39+Gabrovo!V39+Plachkovci!V39+Sevlievo!V39+Bqla!V39+Dunav_Ruse!V39+Silistra!V39+Tutrakan!V39+Seslav!V39+Karakuz!V39+Razgrad!V39+Voden!V39</f>
        <v>8206</v>
      </c>
      <c r="W39" s="163">
        <f>Bujnovci!W39+Elena!W39+Bolqrka!W39+Gorna!W39+Svishtov!W39+Rosica!W39+Gabrovo!W39+Plachkovci!W39+Sevlievo!W39+Bqla!W39+Dunav_Ruse!W39+Silistra!W39+Tutrakan!W39+Seslav!W39+Karakuz!W39+Razgrad!W39+Voden!W39</f>
        <v>6966</v>
      </c>
      <c r="X39" s="163">
        <f>Bujnovci!X39+Elena!X39+Bolqrka!X39+Gorna!X39+Svishtov!X39+Rosica!X39+Gabrovo!X39+Plachkovci!X39+Sevlievo!X39+Bqla!X39+Dunav_Ruse!X39+Silistra!X39+Tutrakan!X39+Seslav!X39+Karakuz!X39+Razgrad!X39+Voden!X39</f>
        <v>1431</v>
      </c>
      <c r="Y39" s="163">
        <f>Bujnovci!Y39+Elena!Y39+Bolqrka!Y39+Gorna!Y39+Svishtov!Y39+Rosica!Y39+Gabrovo!Y39+Plachkovci!Y39+Sevlievo!Y39+Bqla!Y39+Dunav_Ruse!Y39+Silistra!Y39+Tutrakan!Y39+Seslav!Y39+Karakuz!Y39+Razgrad!Y39+Voden!Y39</f>
        <v>39565</v>
      </c>
      <c r="AA39" s="162" t="s">
        <v>32</v>
      </c>
      <c r="AB39" s="165">
        <f>Bujnovci!AB39+Elena!AB39+Bolqrka!AB39+Gorna!AB39+Svishtov!AB39+Rosica!AB39+Gabrovo!AB39+Plachkovci!AB39+Sevlievo!AB39+Bqla!AB39+Dunav_Ruse!AB39+Silistra!AB39+Tutrakan!AB39+Seslav!AB39+Karakuz!AB39+Razgrad!AB39+Voden!AB39</f>
        <v>333.89</v>
      </c>
      <c r="AC39" s="163">
        <f>Bujnovci!AC39+Elena!AC39+Bolqrka!AC39+Gorna!AC39+Svishtov!AC39+Rosica!AC39+Gabrovo!AC39+Plachkovci!AC39+Sevlievo!AC39+Bqla!AC39+Dunav_Ruse!AC39+Silistra!AC39+Tutrakan!AC39+Seslav!AC39+Karakuz!AC39+Razgrad!AC39+Voden!AC39</f>
        <v>29031</v>
      </c>
      <c r="AD39" s="163">
        <f>Bujnovci!AD39+Elena!AD39+Bolqrka!AD39+Gorna!AD39+Svishtov!AD39+Rosica!AD39+Gabrovo!AD39+Plachkovci!AD39+Sevlievo!AD39+Bqla!AD39+Dunav_Ruse!AD39+Silistra!AD39+Tutrakan!AD39+Seslav!AD39+Karakuz!AD39+Razgrad!AD39+Voden!AD39</f>
        <v>24515</v>
      </c>
      <c r="AE39" s="163">
        <f>Bujnovci!AE39+Elena!AE39+Bolqrka!AE39+Gorna!AE39+Svishtov!AE39+Rosica!AE39+Gabrovo!AE39+Plachkovci!AE39+Sevlievo!AE39+Bqla!AE39+Dunav_Ruse!AE39+Silistra!AE39+Tutrakan!AE39+Seslav!AE39+Karakuz!AE39+Razgrad!AE39+Voden!AE39</f>
        <v>4817</v>
      </c>
      <c r="AF39" s="163">
        <f>Bujnovci!AF39+Elena!AF39+Bolqrka!AF39+Gorna!AF39+Svishtov!AF39+Rosica!AF39+Gabrovo!AF39+Plachkovci!AF39+Sevlievo!AF39+Bqla!AF39+Dunav_Ruse!AF39+Silistra!AF39+Tutrakan!AF39+Seslav!AF39+Karakuz!AF39+Razgrad!AF39+Voden!AF39</f>
        <v>4490</v>
      </c>
      <c r="AG39" s="163">
        <f>Bujnovci!AG39+Elena!AG39+Bolqrka!AG39+Gorna!AG39+Svishtov!AG39+Rosica!AG39+Gabrovo!AG39+Plachkovci!AG39+Sevlievo!AG39+Bqla!AG39+Dunav_Ruse!AG39+Silistra!AG39+Tutrakan!AG39+Seslav!AG39+Karakuz!AG39+Razgrad!AG39+Voden!AG39</f>
        <v>913</v>
      </c>
      <c r="AH39" s="163">
        <f>Bujnovci!AH39+Elena!AH39+Bolqrka!AH39+Gorna!AH39+Svishtov!AH39+Rosica!AH39+Gabrovo!AH39+Plachkovci!AH39+Sevlievo!AH39+Bqla!AH39+Dunav_Ruse!AH39+Silistra!AH39+Tutrakan!AH39+Seslav!AH39+Karakuz!AH39+Razgrad!AH39+Voden!AH39</f>
        <v>14295</v>
      </c>
      <c r="AI39" s="168"/>
      <c r="AJ39" s="163" t="s">
        <v>32</v>
      </c>
      <c r="AK39" s="165">
        <f>Bujnovci!AK39+Elena!AK39+Bolqrka!AK39+Gorna!AK39+Svishtov!AK39+Rosica!AK39+Gabrovo!AK39+Plachkovci!AK39+Sevlievo!AK39+Bqla!AK39+Dunav_Ruse!AK39+Silistra!AK39+Tutrakan!AK39+Seslav!AK39+Karakuz!AK39+Razgrad!AK39+Voden!AK39</f>
        <v>15.6</v>
      </c>
      <c r="AL39" s="163">
        <f>Bujnovci!AL39+Elena!AL39+Bolqrka!AL39+Gorna!AL39+Svishtov!AL39+Rosica!AL39+Gabrovo!AL39+Plachkovci!AL39+Sevlievo!AL39+Bqla!AL39+Dunav_Ruse!AL39+Silistra!AL39+Tutrakan!AL39+Seslav!AL39+Karakuz!AL39+Razgrad!AL39+Voden!AL39</f>
        <v>1980</v>
      </c>
      <c r="AM39" s="163">
        <f>Bujnovci!AM39+Elena!AM39+Bolqrka!AM39+Gorna!AM39+Svishtov!AM39+Rosica!AM39+Gabrovo!AM39+Plachkovci!AM39+Sevlievo!AM39+Bqla!AM39+Dunav_Ruse!AM39+Silistra!AM39+Tutrakan!AM39+Seslav!AM39+Karakuz!AM39+Razgrad!AM39+Voden!AM39</f>
        <v>1875</v>
      </c>
      <c r="AN39" s="163">
        <f>Bujnovci!AN39+Elena!AN39+Bolqrka!AN39+Gorna!AN39+Svishtov!AN39+Rosica!AN39+Gabrovo!AN39+Plachkovci!AN39+Sevlievo!AN39+Bqla!AN39+Dunav_Ruse!AN39+Silistra!AN39+Tutrakan!AN39+Seslav!AN39+Karakuz!AN39+Razgrad!AN39+Voden!AN39</f>
        <v>454</v>
      </c>
      <c r="AO39" s="163">
        <f>Bujnovci!AO39+Elena!AO39+Bolqrka!AO39+Gorna!AO39+Svishtov!AO39+Rosica!AO39+Gabrovo!AO39+Plachkovci!AO39+Sevlievo!AO39+Bqla!AO39+Dunav_Ruse!AO39+Silistra!AO39+Tutrakan!AO39+Seslav!AO39+Karakuz!AO39+Razgrad!AO39+Voden!AO39</f>
        <v>174</v>
      </c>
      <c r="AP39" s="163">
        <f>Bujnovci!AP39+Elena!AP39+Bolqrka!AP39+Gorna!AP39+Svishtov!AP39+Rosica!AP39+Gabrovo!AP39+Plachkovci!AP39+Sevlievo!AP39+Bqla!AP39+Dunav_Ruse!AP39+Silistra!AP39+Tutrakan!AP39+Seslav!AP39+Karakuz!AP39+Razgrad!AP39+Voden!AP39</f>
        <v>27</v>
      </c>
      <c r="AQ39" s="163">
        <f>Bujnovci!AQ39+Elena!AQ39+Bolqrka!AQ39+Gorna!AQ39+Svishtov!AQ39+Rosica!AQ39+Gabrovo!AQ39+Plachkovci!AQ39+Sevlievo!AQ39+Bqla!AQ39+Dunav_Ruse!AQ39+Silistra!AQ39+Tutrakan!AQ39+Seslav!AQ39+Karakuz!AQ39+Razgrad!AQ39+Voden!AQ39</f>
        <v>1220</v>
      </c>
      <c r="AR39" s="164"/>
      <c r="AS39" s="164"/>
      <c r="AT39" s="157" t="s">
        <v>57</v>
      </c>
    </row>
    <row r="40" spans="1:46" ht="12">
      <c r="A40" s="162" t="s">
        <v>12</v>
      </c>
      <c r="B40" s="163">
        <f t="shared" ref="B40:H40" si="40">B39/B38*100</f>
        <v>75.012005941545041</v>
      </c>
      <c r="C40" s="163">
        <f t="shared" si="40"/>
        <v>94.965839322360253</v>
      </c>
      <c r="D40" s="163">
        <f t="shared" si="40"/>
        <v>99.42358166767616</v>
      </c>
      <c r="E40" s="163">
        <f t="shared" si="40"/>
        <v>82.989791273814944</v>
      </c>
      <c r="F40" s="163">
        <f t="shared" si="40"/>
        <v>52.779660320785325</v>
      </c>
      <c r="G40" s="163">
        <f t="shared" si="40"/>
        <v>35.682359952324191</v>
      </c>
      <c r="H40" s="163">
        <f t="shared" si="40"/>
        <v>134.01850144037422</v>
      </c>
      <c r="J40" s="162" t="s">
        <v>12</v>
      </c>
      <c r="K40" s="163">
        <f t="shared" ref="K40:Q40" si="41">K39/K38*100</f>
        <v>71.704773581600918</v>
      </c>
      <c r="L40" s="163">
        <f t="shared" si="41"/>
        <v>89.362893069188175</v>
      </c>
      <c r="M40" s="163">
        <f t="shared" si="41"/>
        <v>96.565555277011782</v>
      </c>
      <c r="N40" s="163">
        <f t="shared" si="41"/>
        <v>101.39626838008155</v>
      </c>
      <c r="O40" s="163">
        <f t="shared" si="41"/>
        <v>47.201785566669422</v>
      </c>
      <c r="P40" s="163">
        <f t="shared" si="41"/>
        <v>26.944644140905822</v>
      </c>
      <c r="Q40" s="163">
        <f t="shared" si="41"/>
        <v>133.49816808649328</v>
      </c>
      <c r="R40" s="162" t="s">
        <v>12</v>
      </c>
      <c r="S40" s="163">
        <f t="shared" ref="S40:Y40" si="42">S39/S38*100</f>
        <v>89.550308893252222</v>
      </c>
      <c r="T40" s="163">
        <f t="shared" si="42"/>
        <v>102.05766425623042</v>
      </c>
      <c r="U40" s="163">
        <f t="shared" si="42"/>
        <v>104.30809520713962</v>
      </c>
      <c r="V40" s="163">
        <f t="shared" si="42"/>
        <v>72.977900306816665</v>
      </c>
      <c r="W40" s="163">
        <f t="shared" si="42"/>
        <v>58.817072655887195</v>
      </c>
      <c r="X40" s="163">
        <f t="shared" si="42"/>
        <v>48.303797468354432</v>
      </c>
      <c r="Y40" s="163">
        <f t="shared" si="42"/>
        <v>142.43798826367137</v>
      </c>
      <c r="AA40" s="162" t="s">
        <v>12</v>
      </c>
      <c r="AB40" s="163">
        <f t="shared" ref="AB40:AH40" si="43">AB39/AB38*100</f>
        <v>80.455421686746988</v>
      </c>
      <c r="AC40" s="163">
        <f t="shared" si="43"/>
        <v>81.311356029520923</v>
      </c>
      <c r="AD40" s="163">
        <f t="shared" si="43"/>
        <v>79.177701698856666</v>
      </c>
      <c r="AE40" s="163">
        <f t="shared" si="43"/>
        <v>56.520973892637137</v>
      </c>
      <c r="AF40" s="163">
        <f t="shared" si="43"/>
        <v>63.284002818886542</v>
      </c>
      <c r="AG40" s="163">
        <f t="shared" si="43"/>
        <v>55.569080949482654</v>
      </c>
      <c r="AH40" s="163">
        <f t="shared" si="43"/>
        <v>104.35449136766799</v>
      </c>
      <c r="AI40" s="171"/>
      <c r="AJ40" s="202" t="s">
        <v>12</v>
      </c>
      <c r="AK40" s="163">
        <f t="shared" ref="AK40:AQ40" si="44">AK39/AK38*100</f>
        <v>9.8922003804692444</v>
      </c>
      <c r="AL40" s="163">
        <f t="shared" si="44"/>
        <v>50.177394830207803</v>
      </c>
      <c r="AM40" s="163">
        <f t="shared" si="44"/>
        <v>56.221889055472261</v>
      </c>
      <c r="AN40" s="163">
        <f t="shared" si="44"/>
        <v>515.90909090909088</v>
      </c>
      <c r="AO40" s="163">
        <f t="shared" si="44"/>
        <v>42.857142857142854</v>
      </c>
      <c r="AP40" s="163">
        <f t="shared" si="44"/>
        <v>9.9264705882352935</v>
      </c>
      <c r="AQ40" s="163">
        <f t="shared" si="44"/>
        <v>47.489295445698716</v>
      </c>
      <c r="AT40" s="157" t="s">
        <v>100</v>
      </c>
    </row>
    <row r="41" spans="1:46" ht="55.5" customHeight="1"/>
    <row r="42" spans="1:46" ht="12">
      <c r="A42" s="172" t="s">
        <v>49</v>
      </c>
      <c r="B42" s="172"/>
      <c r="C42" s="172"/>
      <c r="D42" s="172"/>
      <c r="E42" s="172"/>
      <c r="F42" s="172"/>
      <c r="G42" s="172"/>
      <c r="H42" s="172"/>
    </row>
    <row r="43" spans="1:46" ht="12">
      <c r="A43" s="172" t="s">
        <v>0</v>
      </c>
      <c r="B43" s="172" t="s">
        <v>1</v>
      </c>
      <c r="C43" s="172" t="s">
        <v>2</v>
      </c>
      <c r="D43" s="172" t="s">
        <v>3</v>
      </c>
      <c r="E43" s="172" t="s">
        <v>4</v>
      </c>
      <c r="F43" s="172" t="s">
        <v>5</v>
      </c>
      <c r="G43" s="172" t="s">
        <v>6</v>
      </c>
      <c r="H43" s="172" t="s">
        <v>7</v>
      </c>
    </row>
    <row r="44" spans="1:46" ht="12">
      <c r="A44" s="172"/>
      <c r="B44" s="172" t="s">
        <v>8</v>
      </c>
      <c r="C44" s="172" t="s">
        <v>9</v>
      </c>
      <c r="D44" s="172" t="s">
        <v>10</v>
      </c>
      <c r="E44" s="172" t="s">
        <v>9</v>
      </c>
      <c r="F44" s="172" t="s">
        <v>9</v>
      </c>
      <c r="G44" s="172" t="s">
        <v>9</v>
      </c>
      <c r="H44" s="172" t="s">
        <v>9</v>
      </c>
    </row>
    <row r="45" spans="1:46" ht="12">
      <c r="A45" s="172" t="s">
        <v>17</v>
      </c>
      <c r="B45" s="172"/>
      <c r="C45" s="172"/>
      <c r="D45" s="172"/>
      <c r="E45" s="172"/>
      <c r="F45" s="172"/>
      <c r="G45" s="172"/>
      <c r="H45" s="172"/>
    </row>
    <row r="46" spans="1:46" ht="12">
      <c r="A46" s="172" t="s">
        <v>40</v>
      </c>
      <c r="B46" s="165">
        <f t="shared" ref="B46:H47" si="45">K9+S9+AK9</f>
        <v>11221.129999999997</v>
      </c>
      <c r="C46" s="163">
        <f t="shared" si="45"/>
        <v>644211</v>
      </c>
      <c r="D46" s="163">
        <f t="shared" si="45"/>
        <v>547079.5</v>
      </c>
      <c r="E46" s="163">
        <f t="shared" si="45"/>
        <v>97620</v>
      </c>
      <c r="F46" s="163">
        <f t="shared" si="45"/>
        <v>125477.5</v>
      </c>
      <c r="G46" s="163">
        <f t="shared" si="45"/>
        <v>36312</v>
      </c>
      <c r="H46" s="163">
        <f t="shared" si="45"/>
        <v>287247</v>
      </c>
    </row>
    <row r="47" spans="1:46" ht="12">
      <c r="A47" s="172" t="s">
        <v>50</v>
      </c>
      <c r="B47" s="165">
        <f t="shared" si="45"/>
        <v>9878.4299999999985</v>
      </c>
      <c r="C47" s="163">
        <f t="shared" si="45"/>
        <v>561759</v>
      </c>
      <c r="D47" s="163">
        <f t="shared" si="45"/>
        <v>503611</v>
      </c>
      <c r="E47" s="163">
        <f t="shared" si="45"/>
        <v>103434</v>
      </c>
      <c r="F47" s="163">
        <f t="shared" si="45"/>
        <v>69189</v>
      </c>
      <c r="G47" s="163">
        <f t="shared" si="45"/>
        <v>16035</v>
      </c>
      <c r="H47" s="163">
        <f t="shared" si="45"/>
        <v>314963</v>
      </c>
    </row>
    <row r="48" spans="1:46" ht="12">
      <c r="A48" s="172" t="s">
        <v>44</v>
      </c>
      <c r="B48" s="163">
        <f>B47/B46*100</f>
        <v>88.034181940677996</v>
      </c>
      <c r="C48" s="163">
        <f t="shared" ref="C48:H48" si="46">C47/C46*100</f>
        <v>87.201087842337373</v>
      </c>
      <c r="D48" s="163">
        <f t="shared" si="46"/>
        <v>92.054445469077166</v>
      </c>
      <c r="E48" s="163">
        <f t="shared" si="46"/>
        <v>105.95574677320221</v>
      </c>
      <c r="F48" s="163">
        <f t="shared" si="46"/>
        <v>55.140563049152234</v>
      </c>
      <c r="G48" s="163">
        <f t="shared" si="46"/>
        <v>44.15895571711831</v>
      </c>
      <c r="H48" s="163">
        <f t="shared" si="46"/>
        <v>109.64883880423469</v>
      </c>
    </row>
    <row r="49" spans="1:8" ht="12">
      <c r="A49" s="172" t="s">
        <v>11</v>
      </c>
      <c r="B49" s="163"/>
      <c r="C49" s="163"/>
      <c r="D49" s="163"/>
      <c r="E49" s="163"/>
      <c r="F49" s="163"/>
      <c r="G49" s="163"/>
      <c r="H49" s="163"/>
    </row>
    <row r="50" spans="1:8" ht="12">
      <c r="A50" s="172" t="s">
        <v>40</v>
      </c>
      <c r="B50" s="165">
        <f t="shared" ref="B50:H51" si="47">K13+S13+AK13</f>
        <v>1034.3699999999999</v>
      </c>
      <c r="C50" s="163">
        <f t="shared" si="47"/>
        <v>71232.5</v>
      </c>
      <c r="D50" s="163">
        <f t="shared" si="47"/>
        <v>52126</v>
      </c>
      <c r="E50" s="163">
        <f t="shared" si="47"/>
        <v>10390</v>
      </c>
      <c r="F50" s="163">
        <f t="shared" si="47"/>
        <v>19545.5</v>
      </c>
      <c r="G50" s="163">
        <f t="shared" si="47"/>
        <v>6949</v>
      </c>
      <c r="H50" s="163">
        <f t="shared" si="47"/>
        <v>15100</v>
      </c>
    </row>
    <row r="51" spans="1:8" ht="12">
      <c r="A51" s="172" t="s">
        <v>50</v>
      </c>
      <c r="B51" s="165">
        <f t="shared" si="47"/>
        <v>988.69999999999982</v>
      </c>
      <c r="C51" s="163">
        <f t="shared" si="47"/>
        <v>63977</v>
      </c>
      <c r="D51" s="163">
        <f t="shared" si="47"/>
        <v>53552</v>
      </c>
      <c r="E51" s="163">
        <f t="shared" si="47"/>
        <v>15320</v>
      </c>
      <c r="F51" s="163">
        <f t="shared" si="47"/>
        <v>10068</v>
      </c>
      <c r="G51" s="163">
        <f t="shared" si="47"/>
        <v>976</v>
      </c>
      <c r="H51" s="163">
        <f t="shared" si="47"/>
        <v>27188</v>
      </c>
    </row>
    <row r="52" spans="1:8" ht="12">
      <c r="A52" s="172" t="s">
        <v>44</v>
      </c>
      <c r="B52" s="163">
        <f t="shared" ref="B52:H52" si="48">B51/B50*100</f>
        <v>95.584752071309097</v>
      </c>
      <c r="C52" s="163">
        <f t="shared" si="48"/>
        <v>89.814340364300008</v>
      </c>
      <c r="D52" s="163">
        <f t="shared" si="48"/>
        <v>102.73567893181905</v>
      </c>
      <c r="E52" s="163">
        <f t="shared" si="48"/>
        <v>147.44947064485081</v>
      </c>
      <c r="F52" s="163">
        <f t="shared" si="48"/>
        <v>51.510577882377021</v>
      </c>
      <c r="G52" s="163">
        <f t="shared" si="48"/>
        <v>14.045186357749317</v>
      </c>
      <c r="H52" s="163">
        <f t="shared" si="48"/>
        <v>180.05298013245033</v>
      </c>
    </row>
    <row r="53" spans="1:8" ht="12">
      <c r="A53" s="172" t="s">
        <v>13</v>
      </c>
      <c r="B53" s="163">
        <f t="shared" ref="B53:H55" si="49">K16+S16+AK16</f>
        <v>431.65</v>
      </c>
      <c r="C53" s="163">
        <f t="shared" si="49"/>
        <v>23861</v>
      </c>
      <c r="D53" s="163">
        <f t="shared" si="49"/>
        <v>21291</v>
      </c>
      <c r="E53" s="163">
        <f t="shared" si="49"/>
        <v>7880</v>
      </c>
      <c r="F53" s="163">
        <f t="shared" si="49"/>
        <v>5596</v>
      </c>
      <c r="G53" s="163">
        <f t="shared" si="49"/>
        <v>228</v>
      </c>
      <c r="H53" s="163">
        <f t="shared" si="49"/>
        <v>7585</v>
      </c>
    </row>
    <row r="54" spans="1:8" ht="12">
      <c r="A54" s="172" t="s">
        <v>14</v>
      </c>
      <c r="B54" s="163">
        <f t="shared" si="49"/>
        <v>35.4</v>
      </c>
      <c r="C54" s="163">
        <f t="shared" si="49"/>
        <v>4104</v>
      </c>
      <c r="D54" s="163">
        <f t="shared" si="49"/>
        <v>3417</v>
      </c>
      <c r="E54" s="163">
        <f t="shared" si="49"/>
        <v>988</v>
      </c>
      <c r="F54" s="163">
        <f t="shared" si="49"/>
        <v>664</v>
      </c>
      <c r="G54" s="163">
        <f t="shared" si="49"/>
        <v>101</v>
      </c>
      <c r="H54" s="163">
        <f t="shared" si="49"/>
        <v>1664</v>
      </c>
    </row>
    <row r="55" spans="1:8" ht="12">
      <c r="A55" s="172" t="s">
        <v>15</v>
      </c>
      <c r="B55" s="163">
        <f t="shared" si="49"/>
        <v>14.799999999999999</v>
      </c>
      <c r="C55" s="163">
        <f t="shared" si="49"/>
        <v>1232</v>
      </c>
      <c r="D55" s="163">
        <f t="shared" si="49"/>
        <v>1054</v>
      </c>
      <c r="E55" s="163">
        <f t="shared" si="49"/>
        <v>717</v>
      </c>
      <c r="F55" s="163">
        <f t="shared" si="49"/>
        <v>142</v>
      </c>
      <c r="G55" s="163">
        <f t="shared" si="49"/>
        <v>28</v>
      </c>
      <c r="H55" s="163">
        <f t="shared" si="49"/>
        <v>161</v>
      </c>
    </row>
    <row r="56" spans="1:8" ht="12">
      <c r="A56" s="172" t="s">
        <v>16</v>
      </c>
      <c r="B56" s="163"/>
      <c r="C56" s="163"/>
      <c r="D56" s="163"/>
      <c r="E56" s="163"/>
      <c r="F56" s="163"/>
      <c r="G56" s="163"/>
      <c r="H56" s="163"/>
    </row>
    <row r="57" spans="1:8" ht="12">
      <c r="A57" s="172" t="s">
        <v>40</v>
      </c>
      <c r="B57" s="165">
        <f t="shared" ref="B57:H58" si="50">K20+S20+AK20</f>
        <v>10186.760000000002</v>
      </c>
      <c r="C57" s="163">
        <f t="shared" si="50"/>
        <v>572978.5</v>
      </c>
      <c r="D57" s="163">
        <f t="shared" si="50"/>
        <v>494953.5</v>
      </c>
      <c r="E57" s="163">
        <f t="shared" si="50"/>
        <v>87230</v>
      </c>
      <c r="F57" s="163">
        <f t="shared" si="50"/>
        <v>105932</v>
      </c>
      <c r="G57" s="163">
        <f t="shared" si="50"/>
        <v>29363</v>
      </c>
      <c r="H57" s="163">
        <f t="shared" si="50"/>
        <v>272147</v>
      </c>
    </row>
    <row r="58" spans="1:8" ht="12">
      <c r="A58" s="172" t="s">
        <v>50</v>
      </c>
      <c r="B58" s="165">
        <f t="shared" si="50"/>
        <v>8889.73</v>
      </c>
      <c r="C58" s="163">
        <f t="shared" si="50"/>
        <v>497782</v>
      </c>
      <c r="D58" s="163">
        <f t="shared" si="50"/>
        <v>450059</v>
      </c>
      <c r="E58" s="163">
        <f t="shared" si="50"/>
        <v>88114</v>
      </c>
      <c r="F58" s="163">
        <f t="shared" si="50"/>
        <v>59121</v>
      </c>
      <c r="G58" s="163">
        <f t="shared" si="50"/>
        <v>15059</v>
      </c>
      <c r="H58" s="163">
        <f t="shared" si="50"/>
        <v>287775</v>
      </c>
    </row>
    <row r="59" spans="1:8" ht="12">
      <c r="A59" s="172" t="s">
        <v>44</v>
      </c>
      <c r="B59" s="163">
        <f t="shared" ref="B59:H59" si="51">B58/B57*100</f>
        <v>87.267492313552069</v>
      </c>
      <c r="C59" s="163">
        <f t="shared" si="51"/>
        <v>86.87620914222785</v>
      </c>
      <c r="D59" s="163">
        <f t="shared" si="51"/>
        <v>90.929551968013158</v>
      </c>
      <c r="E59" s="163">
        <f t="shared" si="51"/>
        <v>101.0134128166915</v>
      </c>
      <c r="F59" s="163">
        <f t="shared" si="51"/>
        <v>55.810331155835826</v>
      </c>
      <c r="G59" s="163">
        <f t="shared" si="51"/>
        <v>51.285631577154923</v>
      </c>
      <c r="H59" s="163">
        <f t="shared" si="51"/>
        <v>105.74248476007453</v>
      </c>
    </row>
    <row r="60" spans="1:8" ht="12">
      <c r="A60" s="172" t="s">
        <v>21</v>
      </c>
      <c r="B60" s="165">
        <f t="shared" ref="B60:H61" si="52">K23+S23+AK23</f>
        <v>1664.7599999999998</v>
      </c>
      <c r="C60" s="163">
        <f t="shared" si="52"/>
        <v>100675</v>
      </c>
      <c r="D60" s="163">
        <f t="shared" si="52"/>
        <v>83355</v>
      </c>
      <c r="E60" s="163">
        <f t="shared" si="52"/>
        <v>21588</v>
      </c>
      <c r="F60" s="163">
        <f t="shared" si="52"/>
        <v>9529.5</v>
      </c>
      <c r="G60" s="163">
        <f t="shared" si="52"/>
        <v>3506</v>
      </c>
      <c r="H60" s="163">
        <f t="shared" si="52"/>
        <v>48547.5</v>
      </c>
    </row>
    <row r="61" spans="1:8" ht="12">
      <c r="A61" s="172" t="s">
        <v>51</v>
      </c>
      <c r="B61" s="165">
        <f t="shared" si="52"/>
        <v>1172.8800000000001</v>
      </c>
      <c r="C61" s="163">
        <f t="shared" si="52"/>
        <v>59601</v>
      </c>
      <c r="D61" s="163">
        <f t="shared" si="52"/>
        <v>52808</v>
      </c>
      <c r="E61" s="163">
        <f t="shared" si="52"/>
        <v>11562</v>
      </c>
      <c r="F61" s="163">
        <f t="shared" si="52"/>
        <v>4160</v>
      </c>
      <c r="G61" s="163">
        <f t="shared" si="52"/>
        <v>693</v>
      </c>
      <c r="H61" s="163">
        <f t="shared" si="52"/>
        <v>36393</v>
      </c>
    </row>
    <row r="62" spans="1:8" ht="12">
      <c r="A62" s="172" t="s">
        <v>12</v>
      </c>
      <c r="B62" s="163">
        <f t="shared" ref="B62:H62" si="53">B61/B60*100</f>
        <v>70.453398688099199</v>
      </c>
      <c r="C62" s="163">
        <f t="shared" si="53"/>
        <v>59.20139061335982</v>
      </c>
      <c r="D62" s="163">
        <f t="shared" si="53"/>
        <v>63.353128186671469</v>
      </c>
      <c r="E62" s="163">
        <f t="shared" si="53"/>
        <v>53.557531962201224</v>
      </c>
      <c r="F62" s="163">
        <f t="shared" si="53"/>
        <v>43.653916784721133</v>
      </c>
      <c r="G62" s="163">
        <f t="shared" si="53"/>
        <v>19.766115231032515</v>
      </c>
      <c r="H62" s="163">
        <f t="shared" si="53"/>
        <v>74.963695349915028</v>
      </c>
    </row>
    <row r="63" spans="1:8" ht="12">
      <c r="A63" s="172" t="s">
        <v>23</v>
      </c>
      <c r="B63" s="165">
        <f t="shared" ref="B63:H64" si="54">K26+S26+AK26</f>
        <v>1031.0000000000002</v>
      </c>
      <c r="C63" s="163">
        <f t="shared" si="54"/>
        <v>41439</v>
      </c>
      <c r="D63" s="163">
        <f t="shared" si="54"/>
        <v>36174.5</v>
      </c>
      <c r="E63" s="163">
        <f t="shared" si="54"/>
        <v>3511.5</v>
      </c>
      <c r="F63" s="163">
        <f t="shared" si="54"/>
        <v>7411</v>
      </c>
      <c r="G63" s="163">
        <f t="shared" si="54"/>
        <v>1692.5</v>
      </c>
      <c r="H63" s="163">
        <f t="shared" si="54"/>
        <v>23537.5</v>
      </c>
    </row>
    <row r="64" spans="1:8" ht="12">
      <c r="A64" s="172" t="s">
        <v>45</v>
      </c>
      <c r="B64" s="165">
        <f t="shared" si="54"/>
        <v>986.44500000000005</v>
      </c>
      <c r="C64" s="163">
        <f t="shared" si="54"/>
        <v>28526</v>
      </c>
      <c r="D64" s="163">
        <f t="shared" si="54"/>
        <v>25750</v>
      </c>
      <c r="E64" s="163">
        <f t="shared" si="54"/>
        <v>3358</v>
      </c>
      <c r="F64" s="163">
        <f t="shared" si="54"/>
        <v>3136</v>
      </c>
      <c r="G64" s="163">
        <f t="shared" si="54"/>
        <v>364</v>
      </c>
      <c r="H64" s="163">
        <f t="shared" si="54"/>
        <v>18894</v>
      </c>
    </row>
    <row r="65" spans="1:8" ht="12">
      <c r="A65" s="172" t="s">
        <v>12</v>
      </c>
      <c r="B65" s="163">
        <f t="shared" ref="B65:H65" si="55">B64/B63*100</f>
        <v>95.678467507274476</v>
      </c>
      <c r="C65" s="163">
        <f t="shared" si="55"/>
        <v>68.838533748401261</v>
      </c>
      <c r="D65" s="163">
        <f t="shared" si="55"/>
        <v>71.182739222380405</v>
      </c>
      <c r="E65" s="163">
        <f t="shared" si="55"/>
        <v>95.628648725615832</v>
      </c>
      <c r="F65" s="163">
        <f t="shared" si="55"/>
        <v>42.315476993658073</v>
      </c>
      <c r="G65" s="163">
        <f t="shared" si="55"/>
        <v>21.506646971935005</v>
      </c>
      <c r="H65" s="163">
        <f t="shared" si="55"/>
        <v>80.271906532129577</v>
      </c>
    </row>
    <row r="66" spans="1:8" ht="12">
      <c r="A66" s="172" t="s">
        <v>25</v>
      </c>
      <c r="B66" s="165">
        <f t="shared" ref="B66:H67" si="56">K29+S29+AK29</f>
        <v>2875.57</v>
      </c>
      <c r="C66" s="163">
        <f t="shared" si="56"/>
        <v>122525</v>
      </c>
      <c r="D66" s="163">
        <f t="shared" si="56"/>
        <v>108517</v>
      </c>
      <c r="E66" s="163">
        <f t="shared" si="56"/>
        <v>9884</v>
      </c>
      <c r="F66" s="163">
        <f t="shared" si="56"/>
        <v>23534.5</v>
      </c>
      <c r="G66" s="163">
        <f t="shared" si="56"/>
        <v>5439.5</v>
      </c>
      <c r="H66" s="163">
        <f t="shared" si="56"/>
        <v>69632</v>
      </c>
    </row>
    <row r="67" spans="1:8" ht="12">
      <c r="A67" s="172" t="s">
        <v>46</v>
      </c>
      <c r="B67" s="165">
        <f t="shared" si="56"/>
        <v>3251.5199999999995</v>
      </c>
      <c r="C67" s="163">
        <f t="shared" si="56"/>
        <v>131626</v>
      </c>
      <c r="D67" s="163">
        <f t="shared" si="56"/>
        <v>119643</v>
      </c>
      <c r="E67" s="163">
        <f t="shared" si="56"/>
        <v>18401</v>
      </c>
      <c r="F67" s="163">
        <f t="shared" si="56"/>
        <v>9509</v>
      </c>
      <c r="G67" s="163">
        <f t="shared" si="56"/>
        <v>2346</v>
      </c>
      <c r="H67" s="163">
        <f t="shared" si="56"/>
        <v>89387</v>
      </c>
    </row>
    <row r="68" spans="1:8" ht="12">
      <c r="A68" s="172" t="s">
        <v>12</v>
      </c>
      <c r="B68" s="163">
        <f t="shared" ref="B68:H68" si="57">B67/B66*100</f>
        <v>113.07392969046136</v>
      </c>
      <c r="C68" s="163">
        <f t="shared" si="57"/>
        <v>107.42787186288511</v>
      </c>
      <c r="D68" s="163">
        <f t="shared" si="57"/>
        <v>110.2527714551637</v>
      </c>
      <c r="E68" s="163">
        <f t="shared" si="57"/>
        <v>186.1695669769324</v>
      </c>
      <c r="F68" s="163">
        <f t="shared" si="57"/>
        <v>40.404512524166648</v>
      </c>
      <c r="G68" s="163">
        <f t="shared" si="57"/>
        <v>43.128964059196619</v>
      </c>
      <c r="H68" s="163">
        <f t="shared" si="57"/>
        <v>128.37057674632354</v>
      </c>
    </row>
    <row r="69" spans="1:8" ht="12">
      <c r="A69" s="172" t="s">
        <v>27</v>
      </c>
      <c r="B69" s="165">
        <f t="shared" ref="B69:H70" si="58">K32+S32+AK32</f>
        <v>233.10999999999999</v>
      </c>
      <c r="C69" s="163">
        <f t="shared" si="58"/>
        <v>53928</v>
      </c>
      <c r="D69" s="163">
        <f t="shared" si="58"/>
        <v>48462.5</v>
      </c>
      <c r="E69" s="163">
        <f t="shared" si="58"/>
        <v>31286.5</v>
      </c>
      <c r="F69" s="163">
        <f t="shared" si="58"/>
        <v>8795</v>
      </c>
      <c r="G69" s="163">
        <f t="shared" si="58"/>
        <v>1281</v>
      </c>
      <c r="H69" s="163">
        <f t="shared" si="58"/>
        <v>7098.5</v>
      </c>
    </row>
    <row r="70" spans="1:8" ht="12">
      <c r="A70" s="172" t="s">
        <v>47</v>
      </c>
      <c r="B70" s="165">
        <f t="shared" si="58"/>
        <v>200.07999999999998</v>
      </c>
      <c r="C70" s="163">
        <f t="shared" si="58"/>
        <v>55359</v>
      </c>
      <c r="D70" s="163">
        <f t="shared" si="58"/>
        <v>53914</v>
      </c>
      <c r="E70" s="163">
        <f t="shared" si="58"/>
        <v>38790</v>
      </c>
      <c r="F70" s="163">
        <f t="shared" si="58"/>
        <v>5769</v>
      </c>
      <c r="G70" s="163">
        <f t="shared" si="58"/>
        <v>1566</v>
      </c>
      <c r="H70" s="163">
        <f t="shared" si="58"/>
        <v>7789</v>
      </c>
    </row>
    <row r="71" spans="1:8" ht="12">
      <c r="A71" s="172" t="s">
        <v>12</v>
      </c>
      <c r="B71" s="163">
        <f t="shared" ref="B71:H71" si="59">B70/B69*100</f>
        <v>85.830723692677282</v>
      </c>
      <c r="C71" s="163">
        <f t="shared" si="59"/>
        <v>102.65353805073431</v>
      </c>
      <c r="D71" s="163">
        <f t="shared" si="59"/>
        <v>111.24890379159145</v>
      </c>
      <c r="E71" s="163">
        <f t="shared" si="59"/>
        <v>123.98318763684017</v>
      </c>
      <c r="F71" s="163">
        <f t="shared" si="59"/>
        <v>65.594087549744174</v>
      </c>
      <c r="G71" s="163">
        <f t="shared" si="59"/>
        <v>122.24824355971897</v>
      </c>
      <c r="H71" s="163">
        <f t="shared" si="59"/>
        <v>109.72740719870396</v>
      </c>
    </row>
    <row r="72" spans="1:8" ht="12">
      <c r="A72" s="172" t="s">
        <v>29</v>
      </c>
      <c r="B72" s="165">
        <f t="shared" ref="B72:H73" si="60">K35+S35+AK35</f>
        <v>1696.1500000000003</v>
      </c>
      <c r="C72" s="163">
        <f t="shared" si="60"/>
        <v>136000.5</v>
      </c>
      <c r="D72" s="163">
        <f t="shared" si="60"/>
        <v>119384.5</v>
      </c>
      <c r="E72" s="163">
        <f t="shared" si="60"/>
        <v>5581</v>
      </c>
      <c r="F72" s="163">
        <f t="shared" si="60"/>
        <v>32315.5</v>
      </c>
      <c r="G72" s="163">
        <f t="shared" si="60"/>
        <v>10732</v>
      </c>
      <c r="H72" s="163">
        <f t="shared" si="60"/>
        <v>70741</v>
      </c>
    </row>
    <row r="73" spans="1:8" ht="12">
      <c r="A73" s="172" t="s">
        <v>48</v>
      </c>
      <c r="B73" s="165">
        <f t="shared" si="60"/>
        <v>1263.8549999999998</v>
      </c>
      <c r="C73" s="163">
        <f t="shared" si="60"/>
        <v>110220</v>
      </c>
      <c r="D73" s="163">
        <f t="shared" si="60"/>
        <v>99463</v>
      </c>
      <c r="E73" s="163">
        <f t="shared" si="60"/>
        <v>3240</v>
      </c>
      <c r="F73" s="163">
        <f t="shared" si="60"/>
        <v>23697</v>
      </c>
      <c r="G73" s="163">
        <f t="shared" si="60"/>
        <v>7695</v>
      </c>
      <c r="H73" s="163">
        <f t="shared" si="60"/>
        <v>64831</v>
      </c>
    </row>
    <row r="74" spans="1:8" ht="12">
      <c r="A74" s="172" t="s">
        <v>12</v>
      </c>
      <c r="B74" s="163">
        <f t="shared" ref="B74:H74" si="61">B73/B72*100</f>
        <v>74.513162161365415</v>
      </c>
      <c r="C74" s="163">
        <f t="shared" si="61"/>
        <v>81.043819691839374</v>
      </c>
      <c r="D74" s="163">
        <f t="shared" si="61"/>
        <v>83.313160418647314</v>
      </c>
      <c r="E74" s="163">
        <f t="shared" si="61"/>
        <v>58.054112166278451</v>
      </c>
      <c r="F74" s="163">
        <f t="shared" si="61"/>
        <v>73.330135693397906</v>
      </c>
      <c r="G74" s="163">
        <f t="shared" si="61"/>
        <v>71.701453596720086</v>
      </c>
      <c r="H74" s="163">
        <f t="shared" si="61"/>
        <v>91.645580356511786</v>
      </c>
    </row>
    <row r="75" spans="1:8" ht="12">
      <c r="A75" s="172" t="s">
        <v>31</v>
      </c>
      <c r="B75" s="165">
        <f t="shared" ref="B75:H76" si="62">K38+S38+AK38</f>
        <v>2686.1699999999996</v>
      </c>
      <c r="C75" s="163">
        <f t="shared" si="62"/>
        <v>118411</v>
      </c>
      <c r="D75" s="163">
        <f t="shared" si="62"/>
        <v>99060</v>
      </c>
      <c r="E75" s="163">
        <f t="shared" si="62"/>
        <v>15379</v>
      </c>
      <c r="F75" s="163">
        <f t="shared" si="62"/>
        <v>24346.5</v>
      </c>
      <c r="G75" s="163">
        <f t="shared" si="62"/>
        <v>6712</v>
      </c>
      <c r="H75" s="163">
        <f t="shared" si="62"/>
        <v>52590.5</v>
      </c>
    </row>
    <row r="76" spans="1:8" ht="12">
      <c r="A76" s="172" t="s">
        <v>52</v>
      </c>
      <c r="B76" s="165">
        <f t="shared" si="62"/>
        <v>2014.95</v>
      </c>
      <c r="C76" s="163">
        <f t="shared" si="62"/>
        <v>112450</v>
      </c>
      <c r="D76" s="163">
        <f t="shared" si="62"/>
        <v>98481</v>
      </c>
      <c r="E76" s="163">
        <f t="shared" si="62"/>
        <v>12763</v>
      </c>
      <c r="F76" s="163">
        <f t="shared" si="62"/>
        <v>12850</v>
      </c>
      <c r="G76" s="163">
        <f t="shared" si="62"/>
        <v>2395</v>
      </c>
      <c r="H76" s="163">
        <f t="shared" si="62"/>
        <v>70481</v>
      </c>
    </row>
    <row r="77" spans="1:8" ht="12">
      <c r="A77" s="172" t="s">
        <v>12</v>
      </c>
      <c r="B77" s="163">
        <f t="shared" ref="B77:H77" si="63">B76/B75*100</f>
        <v>75.012005941545041</v>
      </c>
      <c r="C77" s="163">
        <f t="shared" si="63"/>
        <v>94.965839322360253</v>
      </c>
      <c r="D77" s="163">
        <f t="shared" si="63"/>
        <v>99.415505754088429</v>
      </c>
      <c r="E77" s="163">
        <f t="shared" si="63"/>
        <v>82.989791273814944</v>
      </c>
      <c r="F77" s="163">
        <f t="shared" si="63"/>
        <v>52.779660320785325</v>
      </c>
      <c r="G77" s="163">
        <f t="shared" si="63"/>
        <v>35.682359952324191</v>
      </c>
      <c r="H77" s="163">
        <f t="shared" si="63"/>
        <v>134.01850144037422</v>
      </c>
    </row>
    <row r="80" spans="1:8">
      <c r="A80" s="157" t="s">
        <v>0</v>
      </c>
      <c r="B80" s="157" t="s">
        <v>1</v>
      </c>
      <c r="C80" s="157" t="s">
        <v>2</v>
      </c>
      <c r="D80" s="157" t="s">
        <v>3</v>
      </c>
      <c r="E80" s="157" t="s">
        <v>4</v>
      </c>
      <c r="F80" s="157" t="s">
        <v>5</v>
      </c>
      <c r="G80" s="157" t="s">
        <v>6</v>
      </c>
      <c r="H80" s="157" t="s">
        <v>7</v>
      </c>
    </row>
    <row r="81" spans="1:8">
      <c r="B81" s="157" t="s">
        <v>8</v>
      </c>
      <c r="C81" s="157" t="s">
        <v>9</v>
      </c>
      <c r="D81" s="157" t="s">
        <v>10</v>
      </c>
      <c r="E81" s="157" t="s">
        <v>9</v>
      </c>
      <c r="F81" s="157" t="s">
        <v>9</v>
      </c>
      <c r="G81" s="157" t="s">
        <v>9</v>
      </c>
      <c r="H81" s="157" t="s">
        <v>9</v>
      </c>
    </row>
    <row r="82" spans="1:8">
      <c r="A82" s="157" t="s">
        <v>17</v>
      </c>
    </row>
    <row r="83" spans="1:8">
      <c r="A83" s="157" t="s">
        <v>40</v>
      </c>
      <c r="B83" s="157">
        <f t="shared" ref="B83:H98" si="64">B9-B46</f>
        <v>0</v>
      </c>
      <c r="C83" s="157">
        <f t="shared" si="64"/>
        <v>0</v>
      </c>
      <c r="D83" s="157">
        <f t="shared" si="64"/>
        <v>0</v>
      </c>
      <c r="E83" s="157">
        <f t="shared" si="64"/>
        <v>0</v>
      </c>
      <c r="F83" s="157">
        <f t="shared" si="64"/>
        <v>0</v>
      </c>
      <c r="G83" s="157">
        <f t="shared" si="64"/>
        <v>0</v>
      </c>
      <c r="H83" s="157">
        <f t="shared" si="64"/>
        <v>0</v>
      </c>
    </row>
    <row r="84" spans="1:8">
      <c r="A84" s="157" t="s">
        <v>50</v>
      </c>
      <c r="B84" s="157">
        <f t="shared" si="64"/>
        <v>0</v>
      </c>
      <c r="C84" s="157">
        <f t="shared" si="64"/>
        <v>0</v>
      </c>
      <c r="D84" s="157">
        <f t="shared" si="64"/>
        <v>10</v>
      </c>
      <c r="E84" s="157">
        <f t="shared" si="64"/>
        <v>0</v>
      </c>
      <c r="F84" s="157">
        <f t="shared" si="64"/>
        <v>0</v>
      </c>
      <c r="G84" s="157">
        <f t="shared" si="64"/>
        <v>0</v>
      </c>
      <c r="H84" s="157">
        <f t="shared" si="64"/>
        <v>0</v>
      </c>
    </row>
    <row r="85" spans="1:8">
      <c r="A85" s="157" t="s">
        <v>44</v>
      </c>
      <c r="B85" s="157">
        <f t="shared" si="64"/>
        <v>0</v>
      </c>
      <c r="C85" s="164">
        <f t="shared" si="64"/>
        <v>0</v>
      </c>
      <c r="D85" s="157">
        <f t="shared" si="64"/>
        <v>1.8278879029480777E-3</v>
      </c>
      <c r="E85" s="157">
        <f t="shared" si="64"/>
        <v>0</v>
      </c>
      <c r="F85" s="157">
        <f t="shared" si="64"/>
        <v>0</v>
      </c>
      <c r="G85" s="157">
        <f t="shared" si="64"/>
        <v>0</v>
      </c>
      <c r="H85" s="157">
        <f t="shared" si="64"/>
        <v>0</v>
      </c>
    </row>
    <row r="86" spans="1:8">
      <c r="A86" s="157" t="s">
        <v>11</v>
      </c>
      <c r="B86" s="157">
        <f t="shared" si="64"/>
        <v>0</v>
      </c>
      <c r="C86" s="157">
        <f t="shared" si="64"/>
        <v>0</v>
      </c>
      <c r="D86" s="157">
        <f t="shared" si="64"/>
        <v>0</v>
      </c>
      <c r="E86" s="157">
        <f t="shared" si="64"/>
        <v>0</v>
      </c>
      <c r="F86" s="157">
        <f t="shared" si="64"/>
        <v>0</v>
      </c>
      <c r="G86" s="157">
        <f t="shared" si="64"/>
        <v>0</v>
      </c>
      <c r="H86" s="157">
        <f t="shared" si="64"/>
        <v>0</v>
      </c>
    </row>
    <row r="87" spans="1:8">
      <c r="A87" s="157" t="s">
        <v>40</v>
      </c>
      <c r="B87" s="157">
        <f t="shared" si="64"/>
        <v>0</v>
      </c>
      <c r="C87" s="157">
        <f t="shared" si="64"/>
        <v>0</v>
      </c>
      <c r="D87" s="157">
        <f t="shared" si="64"/>
        <v>0</v>
      </c>
      <c r="E87" s="157">
        <f t="shared" si="64"/>
        <v>0</v>
      </c>
      <c r="F87" s="157">
        <f t="shared" si="64"/>
        <v>0</v>
      </c>
      <c r="G87" s="157">
        <f t="shared" si="64"/>
        <v>0</v>
      </c>
      <c r="H87" s="157">
        <f t="shared" si="64"/>
        <v>0</v>
      </c>
    </row>
    <row r="88" spans="1:8">
      <c r="A88" s="157" t="s">
        <v>50</v>
      </c>
      <c r="B88" s="157">
        <f t="shared" si="64"/>
        <v>0</v>
      </c>
      <c r="C88" s="157">
        <f t="shared" si="64"/>
        <v>0</v>
      </c>
      <c r="D88" s="157">
        <f t="shared" si="64"/>
        <v>0</v>
      </c>
      <c r="E88" s="157">
        <f t="shared" si="64"/>
        <v>0</v>
      </c>
      <c r="F88" s="157">
        <f t="shared" si="64"/>
        <v>0</v>
      </c>
      <c r="G88" s="157">
        <f t="shared" si="64"/>
        <v>0</v>
      </c>
      <c r="H88" s="157">
        <f t="shared" si="64"/>
        <v>0</v>
      </c>
    </row>
    <row r="89" spans="1:8">
      <c r="A89" s="157" t="s">
        <v>44</v>
      </c>
      <c r="B89" s="157">
        <f t="shared" si="64"/>
        <v>0</v>
      </c>
      <c r="C89" s="157">
        <f t="shared" si="64"/>
        <v>0</v>
      </c>
      <c r="D89" s="157">
        <f t="shared" si="64"/>
        <v>0</v>
      </c>
      <c r="E89" s="157">
        <f t="shared" si="64"/>
        <v>0</v>
      </c>
      <c r="F89" s="157">
        <f t="shared" si="64"/>
        <v>0</v>
      </c>
      <c r="G89" s="157">
        <f t="shared" si="64"/>
        <v>0</v>
      </c>
      <c r="H89" s="157">
        <f t="shared" si="64"/>
        <v>0</v>
      </c>
    </row>
    <row r="90" spans="1:8">
      <c r="A90" s="157" t="s">
        <v>13</v>
      </c>
      <c r="B90" s="157">
        <f t="shared" si="64"/>
        <v>0</v>
      </c>
      <c r="C90" s="157">
        <f t="shared" si="64"/>
        <v>0</v>
      </c>
      <c r="D90" s="157">
        <f t="shared" si="64"/>
        <v>-2</v>
      </c>
      <c r="E90" s="157">
        <f t="shared" si="64"/>
        <v>0</v>
      </c>
      <c r="F90" s="157">
        <f t="shared" si="64"/>
        <v>0</v>
      </c>
      <c r="G90" s="157">
        <f t="shared" si="64"/>
        <v>0</v>
      </c>
      <c r="H90" s="157">
        <f t="shared" si="64"/>
        <v>0</v>
      </c>
    </row>
    <row r="91" spans="1:8">
      <c r="A91" s="157" t="s">
        <v>14</v>
      </c>
      <c r="B91" s="157">
        <f t="shared" si="64"/>
        <v>0</v>
      </c>
      <c r="C91" s="157">
        <f t="shared" si="64"/>
        <v>0</v>
      </c>
      <c r="D91" s="157">
        <f t="shared" si="64"/>
        <v>0</v>
      </c>
      <c r="E91" s="157">
        <f t="shared" si="64"/>
        <v>0</v>
      </c>
      <c r="F91" s="157">
        <f t="shared" si="64"/>
        <v>0</v>
      </c>
      <c r="G91" s="157">
        <f t="shared" si="64"/>
        <v>0</v>
      </c>
      <c r="H91" s="157">
        <f t="shared" si="64"/>
        <v>0</v>
      </c>
    </row>
    <row r="92" spans="1:8">
      <c r="A92" s="157" t="s">
        <v>15</v>
      </c>
      <c r="B92" s="157">
        <f>B18-B55</f>
        <v>0</v>
      </c>
      <c r="C92" s="157">
        <f t="shared" si="64"/>
        <v>0</v>
      </c>
      <c r="D92" s="157">
        <f t="shared" si="64"/>
        <v>-6</v>
      </c>
      <c r="E92" s="157">
        <f t="shared" si="64"/>
        <v>0</v>
      </c>
      <c r="F92" s="157">
        <f t="shared" si="64"/>
        <v>0</v>
      </c>
      <c r="G92" s="157">
        <f t="shared" si="64"/>
        <v>0</v>
      </c>
      <c r="H92" s="157">
        <f t="shared" si="64"/>
        <v>0</v>
      </c>
    </row>
    <row r="93" spans="1:8">
      <c r="A93" s="157" t="s">
        <v>16</v>
      </c>
      <c r="B93" s="157">
        <f>B19-B56</f>
        <v>0</v>
      </c>
      <c r="C93" s="157">
        <f t="shared" si="64"/>
        <v>0</v>
      </c>
      <c r="D93" s="157">
        <f t="shared" si="64"/>
        <v>0</v>
      </c>
      <c r="E93" s="157">
        <f t="shared" si="64"/>
        <v>0</v>
      </c>
      <c r="F93" s="157">
        <f t="shared" si="64"/>
        <v>0</v>
      </c>
      <c r="G93" s="157">
        <f t="shared" si="64"/>
        <v>0</v>
      </c>
      <c r="H93" s="157">
        <f t="shared" si="64"/>
        <v>0</v>
      </c>
    </row>
    <row r="94" spans="1:8">
      <c r="A94" s="157" t="s">
        <v>40</v>
      </c>
      <c r="B94" s="157">
        <f t="shared" si="64"/>
        <v>0</v>
      </c>
      <c r="C94" s="157">
        <f t="shared" si="64"/>
        <v>0</v>
      </c>
      <c r="D94" s="157">
        <f t="shared" si="64"/>
        <v>0</v>
      </c>
      <c r="E94" s="157">
        <f t="shared" si="64"/>
        <v>0</v>
      </c>
      <c r="F94" s="157">
        <f t="shared" si="64"/>
        <v>0</v>
      </c>
      <c r="G94" s="157">
        <f t="shared" si="64"/>
        <v>0</v>
      </c>
      <c r="H94" s="157">
        <f t="shared" si="64"/>
        <v>0</v>
      </c>
    </row>
    <row r="95" spans="1:8">
      <c r="A95" s="157" t="s">
        <v>50</v>
      </c>
      <c r="B95" s="157">
        <f t="shared" si="64"/>
        <v>0</v>
      </c>
      <c r="C95" s="157">
        <f t="shared" si="64"/>
        <v>0</v>
      </c>
      <c r="D95" s="157">
        <f t="shared" si="64"/>
        <v>10</v>
      </c>
      <c r="E95" s="157">
        <f t="shared" si="64"/>
        <v>0</v>
      </c>
      <c r="F95" s="157">
        <f t="shared" si="64"/>
        <v>0</v>
      </c>
      <c r="G95" s="157">
        <f t="shared" si="64"/>
        <v>0</v>
      </c>
      <c r="H95" s="157">
        <f t="shared" si="64"/>
        <v>0</v>
      </c>
    </row>
    <row r="96" spans="1:8">
      <c r="A96" s="157" t="s">
        <v>44</v>
      </c>
      <c r="B96" s="157">
        <f t="shared" si="64"/>
        <v>0</v>
      </c>
      <c r="C96" s="164">
        <f t="shared" si="64"/>
        <v>0</v>
      </c>
      <c r="D96" s="157">
        <f t="shared" si="64"/>
        <v>2.0203918145824673E-3</v>
      </c>
      <c r="E96" s="157">
        <f t="shared" si="64"/>
        <v>0</v>
      </c>
      <c r="F96" s="157">
        <f t="shared" si="64"/>
        <v>0</v>
      </c>
      <c r="G96" s="157">
        <f t="shared" si="64"/>
        <v>0</v>
      </c>
      <c r="H96" s="157">
        <f t="shared" si="64"/>
        <v>0</v>
      </c>
    </row>
    <row r="97" spans="1:8">
      <c r="A97" s="157" t="s">
        <v>21</v>
      </c>
      <c r="B97" s="157">
        <f t="shared" si="64"/>
        <v>0</v>
      </c>
      <c r="C97" s="157">
        <f t="shared" si="64"/>
        <v>0</v>
      </c>
      <c r="D97" s="157">
        <f t="shared" si="64"/>
        <v>0</v>
      </c>
      <c r="E97" s="157">
        <f t="shared" si="64"/>
        <v>0</v>
      </c>
      <c r="F97" s="157">
        <f t="shared" si="64"/>
        <v>0</v>
      </c>
      <c r="G97" s="157">
        <f t="shared" si="64"/>
        <v>0</v>
      </c>
      <c r="H97" s="157">
        <f t="shared" si="64"/>
        <v>0</v>
      </c>
    </row>
    <row r="98" spans="1:8">
      <c r="A98" s="157" t="s">
        <v>51</v>
      </c>
      <c r="B98" s="157">
        <f t="shared" si="64"/>
        <v>0</v>
      </c>
      <c r="C98" s="157">
        <f t="shared" si="64"/>
        <v>0</v>
      </c>
      <c r="D98" s="157">
        <f t="shared" si="64"/>
        <v>0</v>
      </c>
      <c r="E98" s="157">
        <f t="shared" si="64"/>
        <v>0</v>
      </c>
      <c r="F98" s="157">
        <f t="shared" si="64"/>
        <v>0</v>
      </c>
      <c r="G98" s="157">
        <f t="shared" si="64"/>
        <v>0</v>
      </c>
      <c r="H98" s="157">
        <f t="shared" si="64"/>
        <v>0</v>
      </c>
    </row>
    <row r="99" spans="1:8">
      <c r="A99" s="157" t="s">
        <v>12</v>
      </c>
      <c r="B99" s="157">
        <f t="shared" ref="B99:H114" si="65">B25-B62</f>
        <v>0</v>
      </c>
      <c r="C99" s="157">
        <f t="shared" si="65"/>
        <v>0</v>
      </c>
      <c r="D99" s="157">
        <f t="shared" si="65"/>
        <v>0</v>
      </c>
      <c r="E99" s="157">
        <f t="shared" si="65"/>
        <v>0</v>
      </c>
      <c r="F99" s="157">
        <f t="shared" si="65"/>
        <v>0</v>
      </c>
      <c r="G99" s="157">
        <f t="shared" si="65"/>
        <v>0</v>
      </c>
      <c r="H99" s="157">
        <f t="shared" si="65"/>
        <v>0</v>
      </c>
    </row>
    <row r="100" spans="1:8">
      <c r="A100" s="157" t="s">
        <v>23</v>
      </c>
      <c r="B100" s="157">
        <f t="shared" si="65"/>
        <v>0</v>
      </c>
      <c r="C100" s="157">
        <f t="shared" si="65"/>
        <v>0</v>
      </c>
      <c r="D100" s="157">
        <f t="shared" si="65"/>
        <v>1</v>
      </c>
      <c r="E100" s="157">
        <f t="shared" si="65"/>
        <v>0</v>
      </c>
      <c r="F100" s="157">
        <f t="shared" si="65"/>
        <v>0</v>
      </c>
      <c r="G100" s="157">
        <f t="shared" si="65"/>
        <v>0</v>
      </c>
      <c r="H100" s="157">
        <f t="shared" si="65"/>
        <v>0</v>
      </c>
    </row>
    <row r="101" spans="1:8">
      <c r="A101" s="157" t="s">
        <v>45</v>
      </c>
      <c r="B101" s="157">
        <f t="shared" si="65"/>
        <v>0</v>
      </c>
      <c r="C101" s="157">
        <f t="shared" si="65"/>
        <v>0</v>
      </c>
      <c r="D101" s="157">
        <f t="shared" si="65"/>
        <v>2</v>
      </c>
      <c r="E101" s="157">
        <f t="shared" si="65"/>
        <v>0</v>
      </c>
      <c r="F101" s="157">
        <f t="shared" si="65"/>
        <v>0</v>
      </c>
      <c r="G101" s="157">
        <f t="shared" si="65"/>
        <v>0</v>
      </c>
      <c r="H101" s="157">
        <f t="shared" si="65"/>
        <v>0</v>
      </c>
    </row>
    <row r="102" spans="1:8">
      <c r="A102" s="157" t="s">
        <v>12</v>
      </c>
      <c r="B102" s="157">
        <f t="shared" si="65"/>
        <v>0</v>
      </c>
      <c r="C102" s="157">
        <f t="shared" si="65"/>
        <v>0</v>
      </c>
      <c r="D102" s="157">
        <f t="shared" si="65"/>
        <v>3.5608978667198699E-3</v>
      </c>
      <c r="E102" s="157">
        <f t="shared" si="65"/>
        <v>0</v>
      </c>
      <c r="F102" s="157">
        <f t="shared" si="65"/>
        <v>0</v>
      </c>
      <c r="G102" s="157">
        <f t="shared" si="65"/>
        <v>0</v>
      </c>
      <c r="H102" s="157">
        <f t="shared" si="65"/>
        <v>0</v>
      </c>
    </row>
    <row r="103" spans="1:8">
      <c r="A103" s="157" t="s">
        <v>25</v>
      </c>
      <c r="B103" s="157">
        <f t="shared" si="65"/>
        <v>0</v>
      </c>
      <c r="C103" s="157">
        <f t="shared" si="65"/>
        <v>0</v>
      </c>
      <c r="D103" s="157">
        <f t="shared" si="65"/>
        <v>0</v>
      </c>
      <c r="E103" s="157">
        <f t="shared" si="65"/>
        <v>0</v>
      </c>
      <c r="F103" s="157">
        <f t="shared" si="65"/>
        <v>0</v>
      </c>
      <c r="G103" s="157">
        <f t="shared" si="65"/>
        <v>0</v>
      </c>
      <c r="H103" s="157">
        <f t="shared" si="65"/>
        <v>0</v>
      </c>
    </row>
    <row r="104" spans="1:8">
      <c r="A104" s="157" t="s">
        <v>46</v>
      </c>
      <c r="B104" s="157">
        <f t="shared" si="65"/>
        <v>0</v>
      </c>
      <c r="C104" s="157">
        <f t="shared" si="65"/>
        <v>0</v>
      </c>
      <c r="D104" s="157">
        <f t="shared" si="65"/>
        <v>0</v>
      </c>
      <c r="E104" s="157">
        <f t="shared" si="65"/>
        <v>0</v>
      </c>
      <c r="F104" s="157">
        <f t="shared" si="65"/>
        <v>0</v>
      </c>
      <c r="G104" s="157">
        <f t="shared" si="65"/>
        <v>0</v>
      </c>
      <c r="H104" s="157">
        <f t="shared" si="65"/>
        <v>0</v>
      </c>
    </row>
    <row r="105" spans="1:8">
      <c r="A105" s="157" t="s">
        <v>12</v>
      </c>
      <c r="B105" s="157">
        <f t="shared" si="65"/>
        <v>0</v>
      </c>
      <c r="C105" s="157">
        <f t="shared" si="65"/>
        <v>0</v>
      </c>
      <c r="D105" s="157">
        <f t="shared" si="65"/>
        <v>0</v>
      </c>
      <c r="E105" s="157">
        <f t="shared" si="65"/>
        <v>0</v>
      </c>
      <c r="F105" s="157">
        <f t="shared" si="65"/>
        <v>0</v>
      </c>
      <c r="G105" s="157">
        <f t="shared" si="65"/>
        <v>0</v>
      </c>
      <c r="H105" s="157">
        <f t="shared" si="65"/>
        <v>0</v>
      </c>
    </row>
    <row r="106" spans="1:8">
      <c r="A106" s="157" t="s">
        <v>27</v>
      </c>
      <c r="B106" s="157">
        <f t="shared" si="65"/>
        <v>0</v>
      </c>
      <c r="C106" s="157">
        <f t="shared" si="65"/>
        <v>0</v>
      </c>
      <c r="D106" s="157">
        <f t="shared" si="65"/>
        <v>0</v>
      </c>
      <c r="E106" s="157">
        <f t="shared" si="65"/>
        <v>0</v>
      </c>
      <c r="F106" s="157">
        <f t="shared" si="65"/>
        <v>0</v>
      </c>
      <c r="G106" s="157">
        <f t="shared" si="65"/>
        <v>0</v>
      </c>
      <c r="H106" s="157">
        <f t="shared" si="65"/>
        <v>0</v>
      </c>
    </row>
    <row r="107" spans="1:8">
      <c r="A107" s="157" t="s">
        <v>47</v>
      </c>
      <c r="B107" s="157">
        <f t="shared" si="65"/>
        <v>0</v>
      </c>
      <c r="C107" s="157">
        <f t="shared" si="65"/>
        <v>0</v>
      </c>
      <c r="D107" s="157">
        <f t="shared" si="65"/>
        <v>0</v>
      </c>
      <c r="E107" s="157">
        <f t="shared" si="65"/>
        <v>0</v>
      </c>
      <c r="F107" s="157">
        <f t="shared" si="65"/>
        <v>0</v>
      </c>
      <c r="G107" s="157">
        <f t="shared" si="65"/>
        <v>0</v>
      </c>
      <c r="H107" s="157">
        <f t="shared" si="65"/>
        <v>0</v>
      </c>
    </row>
    <row r="108" spans="1:8">
      <c r="A108" s="157" t="s">
        <v>12</v>
      </c>
      <c r="B108" s="157">
        <f t="shared" si="65"/>
        <v>0</v>
      </c>
      <c r="C108" s="157">
        <f t="shared" si="65"/>
        <v>0</v>
      </c>
      <c r="D108" s="157">
        <f t="shared" si="65"/>
        <v>0</v>
      </c>
      <c r="E108" s="157">
        <f t="shared" si="65"/>
        <v>0</v>
      </c>
      <c r="F108" s="157">
        <f t="shared" si="65"/>
        <v>0</v>
      </c>
      <c r="G108" s="157">
        <f t="shared" si="65"/>
        <v>0</v>
      </c>
      <c r="H108" s="157">
        <f t="shared" si="65"/>
        <v>0</v>
      </c>
    </row>
    <row r="109" spans="1:8">
      <c r="A109" s="157" t="s">
        <v>29</v>
      </c>
      <c r="B109" s="157">
        <f t="shared" si="65"/>
        <v>0</v>
      </c>
      <c r="C109" s="157">
        <f t="shared" si="65"/>
        <v>0</v>
      </c>
      <c r="D109" s="157">
        <f t="shared" si="65"/>
        <v>0</v>
      </c>
      <c r="E109" s="157">
        <f t="shared" si="65"/>
        <v>0</v>
      </c>
      <c r="F109" s="157">
        <f t="shared" si="65"/>
        <v>0</v>
      </c>
      <c r="G109" s="157">
        <f t="shared" si="65"/>
        <v>0</v>
      </c>
      <c r="H109" s="157">
        <f t="shared" si="65"/>
        <v>0</v>
      </c>
    </row>
    <row r="110" spans="1:8">
      <c r="A110" s="157" t="s">
        <v>48</v>
      </c>
      <c r="B110" s="157">
        <f t="shared" si="65"/>
        <v>0</v>
      </c>
      <c r="C110" s="157">
        <f t="shared" si="65"/>
        <v>0</v>
      </c>
      <c r="D110" s="157">
        <f t="shared" si="65"/>
        <v>0</v>
      </c>
      <c r="E110" s="157">
        <f t="shared" si="65"/>
        <v>0</v>
      </c>
      <c r="F110" s="157">
        <f t="shared" si="65"/>
        <v>0</v>
      </c>
      <c r="G110" s="157">
        <f t="shared" si="65"/>
        <v>0</v>
      </c>
      <c r="H110" s="157">
        <f t="shared" si="65"/>
        <v>0</v>
      </c>
    </row>
    <row r="111" spans="1:8">
      <c r="A111" s="157" t="s">
        <v>12</v>
      </c>
      <c r="B111" s="157">
        <f t="shared" si="65"/>
        <v>0</v>
      </c>
      <c r="C111" s="157">
        <f t="shared" si="65"/>
        <v>0</v>
      </c>
      <c r="D111" s="157">
        <f t="shared" si="65"/>
        <v>0</v>
      </c>
      <c r="E111" s="157">
        <f t="shared" si="65"/>
        <v>0</v>
      </c>
      <c r="F111" s="157">
        <f t="shared" si="65"/>
        <v>0</v>
      </c>
      <c r="G111" s="157">
        <f t="shared" si="65"/>
        <v>0</v>
      </c>
      <c r="H111" s="157">
        <f t="shared" si="65"/>
        <v>0</v>
      </c>
    </row>
    <row r="112" spans="1:8">
      <c r="A112" s="157" t="s">
        <v>31</v>
      </c>
      <c r="B112" s="157">
        <f t="shared" si="65"/>
        <v>0</v>
      </c>
      <c r="C112" s="157">
        <f t="shared" si="65"/>
        <v>0</v>
      </c>
      <c r="D112" s="157">
        <f t="shared" si="65"/>
        <v>0</v>
      </c>
      <c r="E112" s="157">
        <f t="shared" si="65"/>
        <v>0</v>
      </c>
      <c r="F112" s="157">
        <f t="shared" si="65"/>
        <v>0</v>
      </c>
      <c r="G112" s="157">
        <f t="shared" si="65"/>
        <v>0</v>
      </c>
      <c r="H112" s="157">
        <f t="shared" si="65"/>
        <v>0</v>
      </c>
    </row>
    <row r="113" spans="1:8">
      <c r="A113" s="157" t="s">
        <v>52</v>
      </c>
      <c r="B113" s="157">
        <f t="shared" si="65"/>
        <v>0</v>
      </c>
      <c r="C113" s="157">
        <f t="shared" si="65"/>
        <v>0</v>
      </c>
      <c r="D113" s="157">
        <f t="shared" si="65"/>
        <v>8</v>
      </c>
      <c r="E113" s="157">
        <f t="shared" si="65"/>
        <v>0</v>
      </c>
      <c r="F113" s="157">
        <f t="shared" si="65"/>
        <v>0</v>
      </c>
      <c r="G113" s="157">
        <f t="shared" si="65"/>
        <v>0</v>
      </c>
      <c r="H113" s="157">
        <f t="shared" si="65"/>
        <v>0</v>
      </c>
    </row>
    <row r="114" spans="1:8">
      <c r="A114" s="157" t="s">
        <v>12</v>
      </c>
      <c r="B114" s="157">
        <f t="shared" si="65"/>
        <v>0</v>
      </c>
      <c r="C114" s="157">
        <f t="shared" si="65"/>
        <v>0</v>
      </c>
      <c r="D114" s="157">
        <f t="shared" si="65"/>
        <v>8.0759135877315202E-3</v>
      </c>
      <c r="E114" s="157">
        <f t="shared" si="65"/>
        <v>0</v>
      </c>
      <c r="F114" s="157">
        <f t="shared" si="65"/>
        <v>0</v>
      </c>
      <c r="G114" s="157">
        <f t="shared" si="65"/>
        <v>0</v>
      </c>
      <c r="H114" s="157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7" type="noConversion"/>
  <pageMargins left="0.25" right="0.23" top="0.36" bottom="0.2" header="0.19" footer="0.15"/>
  <pageSetup paperSize="9" fitToWidth="0" orientation="landscape" horizontalDpi="300" verticalDpi="300" r:id="rId1"/>
  <headerFooter alignWithMargins="0">
    <oddFooter>&amp;L.&amp;Cстр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/>
  <dimension ref="A1:AQ114"/>
  <sheetViews>
    <sheetView zoomScale="85" zoomScaleNormal="85" workbookViewId="0">
      <selection activeCell="M18" sqref="M18"/>
    </sheetView>
  </sheetViews>
  <sheetFormatPr defaultRowHeight="13.2"/>
  <cols>
    <col min="1" max="1" width="14.5546875" customWidth="1"/>
    <col min="2" max="2" width="7.6640625" customWidth="1"/>
    <col min="3" max="3" width="7.5546875" customWidth="1"/>
    <col min="4" max="4" width="7.6640625" customWidth="1"/>
    <col min="5" max="6" width="6.88671875" customWidth="1"/>
    <col min="9" max="9" width="5.33203125" customWidth="1"/>
    <col min="10" max="10" width="15.6640625" customWidth="1"/>
    <col min="11" max="11" width="7.6640625" customWidth="1"/>
    <col min="12" max="12" width="7.109375" customWidth="1"/>
    <col min="14" max="14" width="7" customWidth="1"/>
    <col min="15" max="15" width="7.6640625" customWidth="1"/>
    <col min="16" max="16" width="7.33203125" customWidth="1"/>
    <col min="17" max="17" width="7.88671875" customWidth="1"/>
    <col min="18" max="18" width="15.6640625" customWidth="1"/>
    <col min="19" max="19" width="6.88671875" customWidth="1"/>
    <col min="20" max="20" width="7.88671875" customWidth="1"/>
    <col min="22" max="22" width="6.33203125" customWidth="1"/>
    <col min="23" max="23" width="7.6640625" customWidth="1"/>
    <col min="24" max="24" width="8" customWidth="1"/>
    <col min="25" max="25" width="7.33203125" customWidth="1"/>
    <col min="26" max="26" width="6.5546875" customWidth="1"/>
    <col min="27" max="27" width="15.33203125" customWidth="1"/>
    <col min="28" max="28" width="7.5546875" customWidth="1"/>
    <col min="29" max="29" width="7.88671875" customWidth="1"/>
    <col min="31" max="31" width="6.6640625" customWidth="1"/>
    <col min="32" max="32" width="7.5546875" customWidth="1"/>
    <col min="33" max="34" width="7.33203125" customWidth="1"/>
    <col min="36" max="36" width="15.33203125" customWidth="1"/>
  </cols>
  <sheetData>
    <row r="1" spans="1:43" ht="15.75" customHeight="1">
      <c r="A1" s="464" t="s">
        <v>55</v>
      </c>
      <c r="B1" s="464"/>
      <c r="C1" s="464"/>
      <c r="D1" s="464"/>
      <c r="E1" s="464"/>
      <c r="F1" s="464"/>
      <c r="G1" s="464"/>
      <c r="H1" s="464"/>
      <c r="J1" s="12"/>
      <c r="K1" s="37"/>
      <c r="L1" s="37"/>
      <c r="M1" s="37"/>
      <c r="N1" s="37"/>
      <c r="O1" s="37"/>
      <c r="P1" s="37"/>
      <c r="Q1" s="38" t="s">
        <v>33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221"/>
      <c r="B2" s="221"/>
      <c r="C2" s="221"/>
      <c r="D2" s="221"/>
      <c r="E2" s="465" t="s">
        <v>67</v>
      </c>
      <c r="F2" s="465"/>
      <c r="G2" s="465"/>
      <c r="H2" s="465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466" t="s">
        <v>83</v>
      </c>
      <c r="B3" s="466"/>
      <c r="C3" s="466"/>
      <c r="D3" s="466"/>
      <c r="E3" s="466"/>
      <c r="F3" s="466"/>
      <c r="G3" s="466"/>
      <c r="H3" s="466"/>
      <c r="J3" s="40"/>
      <c r="K3" s="12"/>
      <c r="L3" s="12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.6">
      <c r="A4" s="40"/>
      <c r="B4" s="40"/>
      <c r="C4" s="40"/>
      <c r="D4" s="40"/>
      <c r="E4" s="40"/>
      <c r="F4" s="40"/>
      <c r="G4" s="40"/>
      <c r="H4" s="40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09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09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</row>
    <row r="8" spans="1:43">
      <c r="A8" s="467" t="s">
        <v>17</v>
      </c>
      <c r="B8" s="468"/>
      <c r="C8" s="468"/>
      <c r="D8" s="468"/>
      <c r="E8" s="468"/>
      <c r="F8" s="468"/>
      <c r="G8" s="468"/>
      <c r="H8" s="469"/>
      <c r="J8" s="467" t="s">
        <v>17</v>
      </c>
      <c r="K8" s="468"/>
      <c r="L8" s="468"/>
      <c r="M8" s="468"/>
      <c r="N8" s="468"/>
      <c r="O8" s="468"/>
      <c r="P8" s="468"/>
      <c r="Q8" s="469"/>
      <c r="R8" s="467" t="s">
        <v>17</v>
      </c>
      <c r="S8" s="468"/>
      <c r="T8" s="468"/>
      <c r="U8" s="468"/>
      <c r="V8" s="468"/>
      <c r="W8" s="468"/>
      <c r="X8" s="468"/>
      <c r="Y8" s="469"/>
      <c r="Z8" s="188"/>
      <c r="AA8" s="467" t="s">
        <v>17</v>
      </c>
      <c r="AB8" s="468"/>
      <c r="AC8" s="468"/>
      <c r="AD8" s="468"/>
      <c r="AE8" s="468"/>
      <c r="AF8" s="468"/>
      <c r="AG8" s="468"/>
      <c r="AH8" s="469"/>
      <c r="AI8" s="188"/>
      <c r="AJ8" s="467" t="s">
        <v>17</v>
      </c>
      <c r="AK8" s="468"/>
      <c r="AL8" s="468"/>
      <c r="AM8" s="468"/>
      <c r="AN8" s="468"/>
      <c r="AO8" s="468"/>
      <c r="AP8" s="468"/>
      <c r="AQ8" s="469"/>
    </row>
    <row r="9" spans="1:43">
      <c r="A9" s="33" t="s">
        <v>18</v>
      </c>
      <c r="B9" s="33">
        <f>B13+B20</f>
        <v>625.5</v>
      </c>
      <c r="C9" s="33">
        <f t="shared" ref="C9:H9" si="0">C13+C20</f>
        <v>28968</v>
      </c>
      <c r="D9" s="33">
        <f t="shared" si="0"/>
        <v>24647</v>
      </c>
      <c r="E9" s="33">
        <f t="shared" si="0"/>
        <v>3729</v>
      </c>
      <c r="F9" s="33">
        <f t="shared" si="0"/>
        <v>5359</v>
      </c>
      <c r="G9" s="33">
        <f t="shared" si="0"/>
        <v>1561</v>
      </c>
      <c r="H9" s="33">
        <f t="shared" si="0"/>
        <v>13998</v>
      </c>
      <c r="J9" s="33" t="s">
        <v>18</v>
      </c>
      <c r="K9" s="42">
        <f t="shared" ref="K9:Q10" si="1">K13+K20</f>
        <v>248.60000000000002</v>
      </c>
      <c r="L9" s="36">
        <f t="shared" si="1"/>
        <v>9673</v>
      </c>
      <c r="M9" s="33">
        <f t="shared" si="1"/>
        <v>7798</v>
      </c>
      <c r="N9" s="33">
        <f t="shared" si="1"/>
        <v>972</v>
      </c>
      <c r="O9" s="33">
        <f t="shared" si="1"/>
        <v>1968</v>
      </c>
      <c r="P9" s="33">
        <f t="shared" si="1"/>
        <v>751</v>
      </c>
      <c r="Q9" s="33">
        <f t="shared" si="1"/>
        <v>4107</v>
      </c>
      <c r="R9" s="33" t="s">
        <v>18</v>
      </c>
      <c r="S9" s="42">
        <f t="shared" ref="S9:Y10" si="2">S13+S20</f>
        <v>376.9</v>
      </c>
      <c r="T9" s="36">
        <f t="shared" si="2"/>
        <v>19295</v>
      </c>
      <c r="U9" s="33">
        <f t="shared" si="2"/>
        <v>16849</v>
      </c>
      <c r="V9" s="33">
        <f t="shared" si="2"/>
        <v>2757</v>
      </c>
      <c r="W9" s="33">
        <f t="shared" si="2"/>
        <v>3391</v>
      </c>
      <c r="X9" s="33">
        <f t="shared" si="2"/>
        <v>810</v>
      </c>
      <c r="Y9" s="33">
        <f t="shared" si="2"/>
        <v>9891</v>
      </c>
      <c r="Z9" s="110"/>
      <c r="AA9" s="33" t="s">
        <v>18</v>
      </c>
      <c r="AB9" s="42">
        <f t="shared" ref="AB9:AH10" si="3">AB13+AB20</f>
        <v>111.69999999999999</v>
      </c>
      <c r="AC9" s="36">
        <f t="shared" si="3"/>
        <v>8304</v>
      </c>
      <c r="AD9" s="33">
        <f t="shared" si="3"/>
        <v>7211</v>
      </c>
      <c r="AE9" s="33">
        <f t="shared" si="3"/>
        <v>2295</v>
      </c>
      <c r="AF9" s="33">
        <f t="shared" si="3"/>
        <v>1028</v>
      </c>
      <c r="AG9" s="33">
        <f t="shared" si="3"/>
        <v>250</v>
      </c>
      <c r="AH9" s="33">
        <f t="shared" si="3"/>
        <v>3638</v>
      </c>
      <c r="AI9" s="110"/>
      <c r="AJ9" s="33" t="s">
        <v>18</v>
      </c>
      <c r="AK9" s="33">
        <f t="shared" ref="AK9:AQ10" si="4">AK13+AK20</f>
        <v>0</v>
      </c>
      <c r="AL9" s="33">
        <f t="shared" si="4"/>
        <v>0</v>
      </c>
      <c r="AM9" s="6">
        <f>AN9+AO9+AP9+AQ9</f>
        <v>0</v>
      </c>
      <c r="AN9" s="33">
        <f t="shared" si="4"/>
        <v>0</v>
      </c>
      <c r="AO9" s="33">
        <f t="shared" si="4"/>
        <v>0</v>
      </c>
      <c r="AP9" s="33">
        <f t="shared" si="4"/>
        <v>0</v>
      </c>
      <c r="AQ9" s="33">
        <f t="shared" si="4"/>
        <v>0</v>
      </c>
    </row>
    <row r="10" spans="1:43">
      <c r="A10" s="7" t="s">
        <v>19</v>
      </c>
      <c r="B10" s="410">
        <f t="shared" ref="B10:H10" si="5">B14+B21</f>
        <v>573.29999999999995</v>
      </c>
      <c r="C10" s="410">
        <f t="shared" si="5"/>
        <v>28591</v>
      </c>
      <c r="D10" s="410">
        <f t="shared" si="5"/>
        <v>25331</v>
      </c>
      <c r="E10" s="410">
        <f t="shared" si="5"/>
        <v>3239</v>
      </c>
      <c r="F10" s="410">
        <f t="shared" si="5"/>
        <v>2281</v>
      </c>
      <c r="G10" s="410">
        <f t="shared" si="5"/>
        <v>297</v>
      </c>
      <c r="H10" s="410">
        <f t="shared" si="5"/>
        <v>19514</v>
      </c>
      <c r="J10" s="7" t="s">
        <v>19</v>
      </c>
      <c r="K10" s="33">
        <f t="shared" si="1"/>
        <v>269.60000000000002</v>
      </c>
      <c r="L10" s="33">
        <f t="shared" si="1"/>
        <v>11017</v>
      </c>
      <c r="M10" s="33">
        <f t="shared" si="1"/>
        <v>9632</v>
      </c>
      <c r="N10" s="33">
        <f t="shared" si="1"/>
        <v>1466</v>
      </c>
      <c r="O10" s="33">
        <f t="shared" si="1"/>
        <v>1300</v>
      </c>
      <c r="P10" s="33">
        <f t="shared" si="1"/>
        <v>108</v>
      </c>
      <c r="Q10" s="33">
        <f t="shared" si="1"/>
        <v>6758</v>
      </c>
      <c r="R10" s="33" t="s">
        <v>19</v>
      </c>
      <c r="S10" s="42">
        <f t="shared" si="2"/>
        <v>255.79999999999998</v>
      </c>
      <c r="T10" s="36">
        <f t="shared" si="2"/>
        <v>13739</v>
      </c>
      <c r="U10" s="36">
        <f t="shared" si="2"/>
        <v>12330</v>
      </c>
      <c r="V10" s="36">
        <f t="shared" si="2"/>
        <v>1622</v>
      </c>
      <c r="W10" s="36">
        <f t="shared" si="2"/>
        <v>829</v>
      </c>
      <c r="X10" s="36">
        <f t="shared" si="2"/>
        <v>189</v>
      </c>
      <c r="Y10" s="36">
        <f t="shared" si="2"/>
        <v>9690</v>
      </c>
      <c r="Z10" s="110"/>
      <c r="AA10" s="7" t="s">
        <v>19</v>
      </c>
      <c r="AB10" s="42">
        <f>AB14+AB21</f>
        <v>83</v>
      </c>
      <c r="AC10" s="33">
        <f t="shared" si="3"/>
        <v>5799</v>
      </c>
      <c r="AD10" s="43">
        <f>AE10+AF10+AG10+AH10</f>
        <v>5168</v>
      </c>
      <c r="AE10" s="33">
        <f t="shared" si="3"/>
        <v>1393</v>
      </c>
      <c r="AF10" s="33">
        <f t="shared" si="3"/>
        <v>351</v>
      </c>
      <c r="AG10" s="33">
        <f t="shared" si="3"/>
        <v>109</v>
      </c>
      <c r="AH10" s="33">
        <f t="shared" si="3"/>
        <v>3315</v>
      </c>
      <c r="AI10" s="110"/>
      <c r="AJ10" s="7" t="s">
        <v>19</v>
      </c>
      <c r="AK10" s="42">
        <f>AK14+AK21</f>
        <v>47.9</v>
      </c>
      <c r="AL10" s="33">
        <f t="shared" si="4"/>
        <v>3835</v>
      </c>
      <c r="AM10" s="43">
        <f>AN10+AO10+AP10+AQ10</f>
        <v>3369</v>
      </c>
      <c r="AN10" s="33">
        <f t="shared" si="4"/>
        <v>151</v>
      </c>
      <c r="AO10" s="33">
        <f t="shared" si="4"/>
        <v>152</v>
      </c>
      <c r="AP10" s="33">
        <f t="shared" si="4"/>
        <v>0</v>
      </c>
      <c r="AQ10" s="33">
        <f t="shared" si="4"/>
        <v>3066</v>
      </c>
    </row>
    <row r="11" spans="1:43">
      <c r="A11" s="33" t="s">
        <v>20</v>
      </c>
      <c r="B11" s="26">
        <f t="shared" ref="B11:H11" si="6">B10/B9*100</f>
        <v>91.654676258992794</v>
      </c>
      <c r="C11" s="26">
        <f t="shared" si="6"/>
        <v>98.698563932615301</v>
      </c>
      <c r="D11" s="26">
        <f t="shared" si="6"/>
        <v>102.77518562096807</v>
      </c>
      <c r="E11" s="26">
        <f t="shared" si="6"/>
        <v>86.859747921694833</v>
      </c>
      <c r="F11" s="26">
        <f t="shared" si="6"/>
        <v>42.563911177458479</v>
      </c>
      <c r="G11" s="26">
        <f t="shared" si="6"/>
        <v>19.026265214606024</v>
      </c>
      <c r="H11" s="26">
        <f t="shared" si="6"/>
        <v>139.4056293756251</v>
      </c>
      <c r="J11" s="33" t="s">
        <v>20</v>
      </c>
      <c r="K11" s="26">
        <f t="shared" ref="K11:Q11" si="7">K10/K9*100</f>
        <v>108.44730490748189</v>
      </c>
      <c r="L11" s="26">
        <f t="shared" si="7"/>
        <v>113.89434508425514</v>
      </c>
      <c r="M11" s="26">
        <f t="shared" si="7"/>
        <v>123.51885098743267</v>
      </c>
      <c r="N11" s="26">
        <f t="shared" si="7"/>
        <v>150.8230452674897</v>
      </c>
      <c r="O11" s="26">
        <f t="shared" si="7"/>
        <v>66.056910569105682</v>
      </c>
      <c r="P11" s="26">
        <f t="shared" si="7"/>
        <v>14.380825565912117</v>
      </c>
      <c r="Q11" s="26">
        <f t="shared" si="7"/>
        <v>164.54833211589968</v>
      </c>
      <c r="R11" s="33" t="s">
        <v>20</v>
      </c>
      <c r="S11" s="26">
        <f t="shared" ref="S11:Y11" si="8">S10/S9*100</f>
        <v>67.86946139559565</v>
      </c>
      <c r="T11" s="26">
        <f t="shared" si="8"/>
        <v>71.204975382223381</v>
      </c>
      <c r="U11" s="26">
        <f t="shared" si="8"/>
        <v>73.179417176093537</v>
      </c>
      <c r="V11" s="26">
        <f t="shared" si="8"/>
        <v>58.832063837504535</v>
      </c>
      <c r="W11" s="26">
        <f t="shared" si="8"/>
        <v>24.447065762312004</v>
      </c>
      <c r="X11" s="26">
        <f t="shared" si="8"/>
        <v>23.333333333333332</v>
      </c>
      <c r="Y11" s="26">
        <f t="shared" si="8"/>
        <v>97.967849560206247</v>
      </c>
      <c r="Z11" s="113"/>
      <c r="AA11" s="33" t="s">
        <v>20</v>
      </c>
      <c r="AB11" s="26">
        <f t="shared" ref="AB11:AH11" si="9">AB10/AB9*100</f>
        <v>74.306177260519263</v>
      </c>
      <c r="AC11" s="26">
        <f t="shared" si="9"/>
        <v>69.833815028901739</v>
      </c>
      <c r="AD11" s="26">
        <f t="shared" si="9"/>
        <v>71.668284565247546</v>
      </c>
      <c r="AE11" s="26">
        <f t="shared" si="9"/>
        <v>60.697167755991288</v>
      </c>
      <c r="AF11" s="26">
        <f t="shared" si="9"/>
        <v>34.143968871595334</v>
      </c>
      <c r="AG11" s="26">
        <f t="shared" si="9"/>
        <v>43.6</v>
      </c>
      <c r="AH11" s="26">
        <f t="shared" si="9"/>
        <v>91.121495327102807</v>
      </c>
      <c r="AI11" s="113"/>
      <c r="AJ11" s="33" t="s">
        <v>20</v>
      </c>
      <c r="AK11" s="26" t="e">
        <f>AK10/AK9*100</f>
        <v>#DIV/0!</v>
      </c>
      <c r="AL11" s="26" t="e">
        <f>AL10/AL9*100</f>
        <v>#DIV/0!</v>
      </c>
      <c r="AM11" s="26" t="e">
        <f>AM10/AM9*100</f>
        <v>#DIV/0!</v>
      </c>
      <c r="AN11" s="26">
        <v>0</v>
      </c>
      <c r="AO11" s="26" t="e">
        <f>AO10/AO9*100</f>
        <v>#DIV/0!</v>
      </c>
      <c r="AP11" s="26" t="e">
        <f>AP10/AP9*100</f>
        <v>#DIV/0!</v>
      </c>
      <c r="AQ11" s="26" t="e">
        <f>AQ10/AQ9*100</f>
        <v>#DIV/0!</v>
      </c>
    </row>
    <row r="12" spans="1:43">
      <c r="A12" s="461" t="s">
        <v>11</v>
      </c>
      <c r="B12" s="470"/>
      <c r="C12" s="470"/>
      <c r="D12" s="470"/>
      <c r="E12" s="470"/>
      <c r="F12" s="470"/>
      <c r="G12" s="470"/>
      <c r="H12" s="471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Z12" s="302"/>
      <c r="AA12" s="461" t="s">
        <v>11</v>
      </c>
      <c r="AB12" s="462"/>
      <c r="AC12" s="462"/>
      <c r="AD12" s="462"/>
      <c r="AE12" s="462"/>
      <c r="AF12" s="462"/>
      <c r="AG12" s="462"/>
      <c r="AH12" s="463"/>
      <c r="AI12" s="302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43">
      <c r="A13" s="244" t="s">
        <v>18</v>
      </c>
      <c r="B13" s="6">
        <f t="shared" ref="B13:H13" si="10">K13+S13+AK13</f>
        <v>113.19999999999999</v>
      </c>
      <c r="C13" s="6">
        <f t="shared" si="10"/>
        <v>5472</v>
      </c>
      <c r="D13" s="6">
        <f t="shared" si="10"/>
        <v>4156</v>
      </c>
      <c r="E13" s="6">
        <f t="shared" si="10"/>
        <v>760</v>
      </c>
      <c r="F13" s="6">
        <f t="shared" si="10"/>
        <v>1667</v>
      </c>
      <c r="G13" s="6">
        <f t="shared" si="10"/>
        <v>232</v>
      </c>
      <c r="H13" s="6">
        <f t="shared" si="10"/>
        <v>1497</v>
      </c>
      <c r="J13" s="244" t="s">
        <v>18</v>
      </c>
      <c r="K13" s="6">
        <v>85.8</v>
      </c>
      <c r="L13" s="6">
        <v>3775</v>
      </c>
      <c r="M13" s="6">
        <f>N13+O13+P13+Q13</f>
        <v>2864</v>
      </c>
      <c r="N13" s="6">
        <v>503</v>
      </c>
      <c r="O13" s="6">
        <v>1157</v>
      </c>
      <c r="P13" s="6">
        <v>182</v>
      </c>
      <c r="Q13" s="6">
        <v>1022</v>
      </c>
      <c r="R13" s="244" t="s">
        <v>18</v>
      </c>
      <c r="S13" s="6">
        <v>27.4</v>
      </c>
      <c r="T13" s="6">
        <v>1697</v>
      </c>
      <c r="U13" s="6">
        <f>V13+W13+X13+Y13</f>
        <v>1292</v>
      </c>
      <c r="V13" s="6">
        <v>257</v>
      </c>
      <c r="W13" s="6">
        <v>510</v>
      </c>
      <c r="X13" s="6">
        <v>50</v>
      </c>
      <c r="Y13" s="6">
        <v>475</v>
      </c>
      <c r="Z13" s="1"/>
      <c r="AA13" s="244" t="s">
        <v>18</v>
      </c>
      <c r="AB13" s="6">
        <v>27.4</v>
      </c>
      <c r="AC13" s="6">
        <v>1681</v>
      </c>
      <c r="AD13" s="6">
        <f>AE13+AF13+AG13+AH13</f>
        <v>1280</v>
      </c>
      <c r="AE13" s="6">
        <v>254</v>
      </c>
      <c r="AF13" s="6">
        <v>505</v>
      </c>
      <c r="AG13" s="6">
        <v>50</v>
      </c>
      <c r="AH13" s="6">
        <v>471</v>
      </c>
      <c r="AI13" s="1"/>
      <c r="AJ13" s="244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43">
      <c r="A14" s="18" t="s">
        <v>19</v>
      </c>
      <c r="B14" s="26">
        <f>K14+S14+AK14</f>
        <v>211.4</v>
      </c>
      <c r="C14" s="6">
        <f>L14+T14+AL14</f>
        <v>11555</v>
      </c>
      <c r="D14" s="6">
        <f>E14+F14+G14+H14</f>
        <v>9880</v>
      </c>
      <c r="E14" s="6">
        <f>N14+V14+AN14</f>
        <v>1558</v>
      </c>
      <c r="F14" s="6">
        <f>O14+W14+AO14</f>
        <v>1313</v>
      </c>
      <c r="G14" s="6">
        <f>P14+X14+AP14</f>
        <v>78</v>
      </c>
      <c r="H14" s="6">
        <f>Q14+Y14+AQ14</f>
        <v>6931</v>
      </c>
      <c r="J14" s="18" t="s">
        <v>19</v>
      </c>
      <c r="K14" s="8">
        <v>148.9</v>
      </c>
      <c r="L14" s="9">
        <v>6550</v>
      </c>
      <c r="M14" s="26">
        <f>N14+O14+P14+Q14</f>
        <v>5576</v>
      </c>
      <c r="N14" s="9">
        <v>988</v>
      </c>
      <c r="O14" s="9">
        <v>952</v>
      </c>
      <c r="P14" s="9">
        <v>61</v>
      </c>
      <c r="Q14" s="9">
        <v>3575</v>
      </c>
      <c r="R14" s="244" t="s">
        <v>19</v>
      </c>
      <c r="S14" s="6">
        <v>17.600000000000001</v>
      </c>
      <c r="T14" s="6">
        <v>1334</v>
      </c>
      <c r="U14" s="6">
        <f>V14+W14+X14+Y14</f>
        <v>1083</v>
      </c>
      <c r="V14" s="6">
        <v>419</v>
      </c>
      <c r="W14" s="6">
        <v>209</v>
      </c>
      <c r="X14" s="6">
        <v>17</v>
      </c>
      <c r="Y14" s="6">
        <v>438</v>
      </c>
      <c r="Z14" s="1"/>
      <c r="AA14" s="18" t="s">
        <v>19</v>
      </c>
      <c r="AB14" s="6">
        <v>17.600000000000001</v>
      </c>
      <c r="AC14" s="6">
        <v>1334</v>
      </c>
      <c r="AD14" s="6">
        <f>AE14+AF14+AG14+AH14</f>
        <v>1083</v>
      </c>
      <c r="AE14" s="6">
        <v>419</v>
      </c>
      <c r="AF14" s="6">
        <v>209</v>
      </c>
      <c r="AG14" s="6">
        <v>17</v>
      </c>
      <c r="AH14" s="6">
        <v>438</v>
      </c>
      <c r="AI14" s="1"/>
      <c r="AJ14" s="18" t="s">
        <v>19</v>
      </c>
      <c r="AK14" s="6">
        <v>44.9</v>
      </c>
      <c r="AL14" s="6">
        <v>3671</v>
      </c>
      <c r="AM14" s="6">
        <f>AN14+AO14+AP14+AQ14</f>
        <v>3221</v>
      </c>
      <c r="AN14" s="6">
        <v>151</v>
      </c>
      <c r="AO14" s="6">
        <v>152</v>
      </c>
      <c r="AP14" s="6"/>
      <c r="AQ14" s="6">
        <v>2918</v>
      </c>
    </row>
    <row r="15" spans="1:43">
      <c r="A15" s="244" t="s">
        <v>20</v>
      </c>
      <c r="B15" s="26">
        <f t="shared" ref="B15:H15" si="11">B14/B13*100</f>
        <v>186.74911660777386</v>
      </c>
      <c r="C15" s="26">
        <f t="shared" si="11"/>
        <v>211.16593567251462</v>
      </c>
      <c r="D15" s="26">
        <f>D14/D13*100</f>
        <v>237.72858517805582</v>
      </c>
      <c r="E15" s="26">
        <f t="shared" si="11"/>
        <v>204.99999999999997</v>
      </c>
      <c r="F15" s="26">
        <f t="shared" si="11"/>
        <v>78.764247150569886</v>
      </c>
      <c r="G15" s="26">
        <f t="shared" si="11"/>
        <v>33.620689655172413</v>
      </c>
      <c r="H15" s="26">
        <f t="shared" si="11"/>
        <v>462.99265197060782</v>
      </c>
      <c r="J15" s="244" t="s">
        <v>20</v>
      </c>
      <c r="K15" s="26">
        <f t="shared" ref="K15:Q15" si="12">K14/K13*100</f>
        <v>173.54312354312356</v>
      </c>
      <c r="L15" s="26">
        <f t="shared" si="12"/>
        <v>173.50993377483442</v>
      </c>
      <c r="M15" s="26">
        <f t="shared" si="12"/>
        <v>194.6927374301676</v>
      </c>
      <c r="N15" s="26">
        <f t="shared" si="12"/>
        <v>196.42147117296221</v>
      </c>
      <c r="O15" s="26">
        <f t="shared" si="12"/>
        <v>82.281763180639587</v>
      </c>
      <c r="P15" s="26">
        <f t="shared" si="12"/>
        <v>33.516483516483511</v>
      </c>
      <c r="Q15" s="26">
        <f t="shared" si="12"/>
        <v>349.80430528375734</v>
      </c>
      <c r="R15" s="244" t="s">
        <v>20</v>
      </c>
      <c r="S15" s="26">
        <f t="shared" ref="S15:Y15" si="13">S14/S13*100</f>
        <v>64.233576642335777</v>
      </c>
      <c r="T15" s="26">
        <f t="shared" si="13"/>
        <v>78.609310548025917</v>
      </c>
      <c r="U15" s="26">
        <f t="shared" si="13"/>
        <v>83.82352941176471</v>
      </c>
      <c r="V15" s="26">
        <f t="shared" si="13"/>
        <v>163.03501945525292</v>
      </c>
      <c r="W15" s="26">
        <f t="shared" si="13"/>
        <v>40.980392156862742</v>
      </c>
      <c r="X15" s="26">
        <f t="shared" si="13"/>
        <v>34</v>
      </c>
      <c r="Y15" s="26">
        <f t="shared" si="13"/>
        <v>92.21052631578948</v>
      </c>
      <c r="Z15" s="113"/>
      <c r="AA15" s="244" t="s">
        <v>20</v>
      </c>
      <c r="AB15" s="26">
        <f t="shared" ref="AB15:AH15" si="14">AB14/AB13*100</f>
        <v>64.233576642335777</v>
      </c>
      <c r="AC15" s="26">
        <f t="shared" si="14"/>
        <v>79.357525282569895</v>
      </c>
      <c r="AD15" s="26">
        <f t="shared" si="14"/>
        <v>84.609375</v>
      </c>
      <c r="AE15" s="26">
        <f t="shared" si="14"/>
        <v>164.96062992125985</v>
      </c>
      <c r="AF15" s="26">
        <f t="shared" si="14"/>
        <v>41.386138613861384</v>
      </c>
      <c r="AG15" s="26">
        <f t="shared" si="14"/>
        <v>34</v>
      </c>
      <c r="AH15" s="26">
        <f t="shared" si="14"/>
        <v>92.99363057324841</v>
      </c>
      <c r="AI15" s="113"/>
      <c r="AJ15" s="244" t="s">
        <v>20</v>
      </c>
      <c r="AK15" s="26" t="s">
        <v>64</v>
      </c>
      <c r="AL15" s="26" t="e">
        <f>AL14/AL13*100</f>
        <v>#DIV/0!</v>
      </c>
      <c r="AM15" s="26" t="e">
        <f>AM14/AM13*100</f>
        <v>#DIV/0!</v>
      </c>
      <c r="AN15" s="26"/>
      <c r="AO15" s="26" t="e">
        <f>AO14/AO13*100</f>
        <v>#DIV/0!</v>
      </c>
      <c r="AP15" s="26" t="e">
        <f>AP14/AP13*100</f>
        <v>#DIV/0!</v>
      </c>
      <c r="AQ15" s="26" t="e">
        <f>AQ14/AQ13*100</f>
        <v>#DIV/0!</v>
      </c>
    </row>
    <row r="16" spans="1:43">
      <c r="A16" s="6" t="s">
        <v>13</v>
      </c>
      <c r="B16" s="6">
        <f t="shared" ref="B16:C18" si="15">K16+S16+AK16</f>
        <v>71.900000000000006</v>
      </c>
      <c r="C16" s="6">
        <f t="shared" si="15"/>
        <v>4022</v>
      </c>
      <c r="D16" s="6">
        <f>E16+F16+G16+H16</f>
        <v>5021</v>
      </c>
      <c r="E16" s="6">
        <f t="shared" ref="E16:H18" si="16">N16+V16+AN16</f>
        <v>1296</v>
      </c>
      <c r="F16" s="6">
        <f t="shared" si="16"/>
        <v>2059</v>
      </c>
      <c r="G16" s="6">
        <f t="shared" si="16"/>
        <v>57</v>
      </c>
      <c r="H16" s="6">
        <f t="shared" si="16"/>
        <v>1609</v>
      </c>
      <c r="J16" s="6" t="s">
        <v>13</v>
      </c>
      <c r="K16" s="6">
        <v>56.7</v>
      </c>
      <c r="L16" s="6">
        <v>2604</v>
      </c>
      <c r="M16" s="26">
        <f>N16+O16+P16+Q16</f>
        <v>3859</v>
      </c>
      <c r="N16" s="6">
        <v>869</v>
      </c>
      <c r="O16" s="6">
        <v>1852</v>
      </c>
      <c r="P16" s="6">
        <v>40</v>
      </c>
      <c r="Q16" s="6">
        <v>1098</v>
      </c>
      <c r="R16" s="6" t="s">
        <v>13</v>
      </c>
      <c r="S16" s="6">
        <v>12.7</v>
      </c>
      <c r="T16" s="6">
        <v>1240</v>
      </c>
      <c r="U16" s="6">
        <f>V16+W16+X16+Y16</f>
        <v>1000</v>
      </c>
      <c r="V16" s="6">
        <v>412</v>
      </c>
      <c r="W16" s="6">
        <v>192</v>
      </c>
      <c r="X16" s="6">
        <v>17</v>
      </c>
      <c r="Y16" s="6">
        <v>379</v>
      </c>
      <c r="Z16" s="1"/>
      <c r="AA16" s="6" t="s">
        <v>13</v>
      </c>
      <c r="AB16" s="6">
        <v>12.7</v>
      </c>
      <c r="AC16" s="6">
        <v>1240</v>
      </c>
      <c r="AD16" s="6">
        <f>AE16+AF16+AG16+AH16</f>
        <v>1000</v>
      </c>
      <c r="AE16" s="6">
        <v>412</v>
      </c>
      <c r="AF16" s="6">
        <v>192</v>
      </c>
      <c r="AG16" s="6">
        <v>17</v>
      </c>
      <c r="AH16" s="6">
        <v>379</v>
      </c>
      <c r="AI16" s="1"/>
      <c r="AJ16" s="6" t="s">
        <v>13</v>
      </c>
      <c r="AK16" s="6">
        <v>2.5</v>
      </c>
      <c r="AL16" s="6">
        <v>178</v>
      </c>
      <c r="AM16" s="6">
        <f>AN16+AO16+AP16+AQ16</f>
        <v>162</v>
      </c>
      <c r="AN16" s="6">
        <v>15</v>
      </c>
      <c r="AO16" s="6">
        <v>15</v>
      </c>
      <c r="AP16" s="6"/>
      <c r="AQ16" s="6">
        <v>132</v>
      </c>
    </row>
    <row r="17" spans="1:43">
      <c r="A17" s="6" t="s">
        <v>14</v>
      </c>
      <c r="B17" s="6">
        <f t="shared" si="15"/>
        <v>1</v>
      </c>
      <c r="C17" s="6">
        <f t="shared" si="15"/>
        <v>60</v>
      </c>
      <c r="D17" s="6">
        <f>E17+F17+G17+H17</f>
        <v>59</v>
      </c>
      <c r="E17" s="6">
        <f t="shared" si="16"/>
        <v>10</v>
      </c>
      <c r="F17" s="6">
        <f t="shared" si="16"/>
        <v>22</v>
      </c>
      <c r="G17" s="6">
        <f t="shared" si="16"/>
        <v>4</v>
      </c>
      <c r="H17" s="6">
        <f t="shared" si="16"/>
        <v>23</v>
      </c>
      <c r="J17" s="6" t="s">
        <v>14</v>
      </c>
      <c r="K17" s="6">
        <v>1</v>
      </c>
      <c r="L17" s="6">
        <v>60</v>
      </c>
      <c r="M17" s="26">
        <f>N17+O17+P17+Q17</f>
        <v>59</v>
      </c>
      <c r="N17" s="6">
        <v>10</v>
      </c>
      <c r="O17" s="6">
        <v>22</v>
      </c>
      <c r="P17" s="6">
        <v>4</v>
      </c>
      <c r="Q17" s="6">
        <v>23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2</v>
      </c>
      <c r="C18" s="6">
        <f t="shared" si="15"/>
        <v>100</v>
      </c>
      <c r="D18" s="6">
        <f>E18+F18+G18+H18</f>
        <v>92</v>
      </c>
      <c r="E18" s="6">
        <f t="shared" si="16"/>
        <v>19</v>
      </c>
      <c r="F18" s="6">
        <f t="shared" si="16"/>
        <v>38</v>
      </c>
      <c r="G18" s="6">
        <f t="shared" si="16"/>
        <v>10</v>
      </c>
      <c r="H18" s="6">
        <f t="shared" si="16"/>
        <v>25</v>
      </c>
      <c r="J18" s="6" t="s">
        <v>15</v>
      </c>
      <c r="K18" s="6">
        <v>2</v>
      </c>
      <c r="L18" s="6">
        <v>100</v>
      </c>
      <c r="M18" s="26">
        <f>N18+O18+P18+Q18</f>
        <v>92</v>
      </c>
      <c r="N18" s="6">
        <v>19</v>
      </c>
      <c r="O18" s="6">
        <v>38</v>
      </c>
      <c r="P18" s="6">
        <v>10</v>
      </c>
      <c r="Q18" s="6">
        <v>25</v>
      </c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>
      <c r="A19" s="461" t="s">
        <v>16</v>
      </c>
      <c r="B19" s="470"/>
      <c r="C19" s="470"/>
      <c r="D19" s="470"/>
      <c r="E19" s="470"/>
      <c r="F19" s="470"/>
      <c r="G19" s="470"/>
      <c r="H19" s="471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Z19" s="302"/>
      <c r="AA19" s="461" t="s">
        <v>16</v>
      </c>
      <c r="AB19" s="462"/>
      <c r="AC19" s="462"/>
      <c r="AD19" s="462"/>
      <c r="AE19" s="462"/>
      <c r="AF19" s="462"/>
      <c r="AG19" s="462"/>
      <c r="AH19" s="463"/>
      <c r="AI19" s="302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4" t="s">
        <v>18</v>
      </c>
      <c r="B20" s="27">
        <f>B23+B26+B29+B32+B35+B38</f>
        <v>512.29999999999995</v>
      </c>
      <c r="C20" s="26">
        <f t="shared" ref="C20:H21" si="17">C23+C26+C29+C32+C35+C38</f>
        <v>23496</v>
      </c>
      <c r="D20" s="26">
        <f t="shared" si="17"/>
        <v>20491</v>
      </c>
      <c r="E20" s="26">
        <f t="shared" si="17"/>
        <v>2969</v>
      </c>
      <c r="F20" s="26">
        <f t="shared" si="17"/>
        <v>3692</v>
      </c>
      <c r="G20" s="26">
        <f t="shared" si="17"/>
        <v>1329</v>
      </c>
      <c r="H20" s="26">
        <f t="shared" si="17"/>
        <v>12501</v>
      </c>
      <c r="J20" s="244" t="s">
        <v>18</v>
      </c>
      <c r="K20" s="27">
        <f t="shared" ref="K20:Q21" si="18">K23+K26+K29+K32+K35+K38</f>
        <v>162.80000000000001</v>
      </c>
      <c r="L20" s="26">
        <f t="shared" si="18"/>
        <v>5898</v>
      </c>
      <c r="M20" s="26">
        <f t="shared" si="18"/>
        <v>4934</v>
      </c>
      <c r="N20" s="26">
        <f t="shared" si="18"/>
        <v>469</v>
      </c>
      <c r="O20" s="26">
        <f t="shared" si="18"/>
        <v>811</v>
      </c>
      <c r="P20" s="26">
        <f t="shared" si="18"/>
        <v>569</v>
      </c>
      <c r="Q20" s="26">
        <f t="shared" si="18"/>
        <v>3085</v>
      </c>
      <c r="R20" s="244" t="s">
        <v>18</v>
      </c>
      <c r="S20" s="27">
        <f t="shared" ref="S20:Y21" si="19">S23+S26+S29+S32+S35+S38</f>
        <v>349.5</v>
      </c>
      <c r="T20" s="26">
        <f t="shared" si="19"/>
        <v>17598</v>
      </c>
      <c r="U20" s="26">
        <f t="shared" si="19"/>
        <v>15557</v>
      </c>
      <c r="V20" s="26">
        <f t="shared" si="19"/>
        <v>2500</v>
      </c>
      <c r="W20" s="26">
        <f t="shared" si="19"/>
        <v>2881</v>
      </c>
      <c r="X20" s="26">
        <f t="shared" si="19"/>
        <v>760</v>
      </c>
      <c r="Y20" s="26">
        <f t="shared" si="19"/>
        <v>9416</v>
      </c>
      <c r="Z20" s="1"/>
      <c r="AA20" s="244" t="s">
        <v>18</v>
      </c>
      <c r="AB20" s="27">
        <f>AB23+AB26+AB29+AB32+AB35+AB38</f>
        <v>84.3</v>
      </c>
      <c r="AC20" s="26">
        <f t="shared" ref="AC20:AH21" si="20">AC23+AC26+AC29+AC32+AC35+AC38</f>
        <v>6623</v>
      </c>
      <c r="AD20" s="26">
        <f t="shared" si="20"/>
        <v>5931</v>
      </c>
      <c r="AE20" s="26">
        <f t="shared" si="20"/>
        <v>2041</v>
      </c>
      <c r="AF20" s="26">
        <f t="shared" si="20"/>
        <v>523</v>
      </c>
      <c r="AG20" s="26">
        <f t="shared" si="20"/>
        <v>200</v>
      </c>
      <c r="AH20" s="26">
        <f t="shared" si="20"/>
        <v>3167</v>
      </c>
      <c r="AI20" s="1"/>
      <c r="AJ20" s="244" t="s">
        <v>18</v>
      </c>
      <c r="AK20" s="6">
        <f>AK23+AK26+AK29+AK32+AK35+AK38</f>
        <v>0</v>
      </c>
      <c r="AL20" s="26">
        <f t="shared" ref="AL20:AQ21" si="21">AL23+AL26+AL29+AL32+AL35+AL38</f>
        <v>0</v>
      </c>
      <c r="AM20" s="26">
        <f t="shared" si="21"/>
        <v>0</v>
      </c>
      <c r="AN20" s="26">
        <f t="shared" si="21"/>
        <v>0</v>
      </c>
      <c r="AO20" s="26">
        <f t="shared" si="21"/>
        <v>0</v>
      </c>
      <c r="AP20" s="26">
        <f t="shared" si="21"/>
        <v>0</v>
      </c>
      <c r="AQ20" s="26">
        <f t="shared" si="21"/>
        <v>0</v>
      </c>
    </row>
    <row r="21" spans="1:43">
      <c r="A21" s="18" t="s">
        <v>19</v>
      </c>
      <c r="B21" s="27">
        <f t="shared" ref="B21:H21" si="22">B24+B27+B30+B33+B36+B39</f>
        <v>361.9</v>
      </c>
      <c r="C21" s="27">
        <f t="shared" si="17"/>
        <v>17036</v>
      </c>
      <c r="D21" s="27">
        <f t="shared" si="17"/>
        <v>15451</v>
      </c>
      <c r="E21" s="27">
        <f t="shared" si="17"/>
        <v>1681</v>
      </c>
      <c r="F21" s="27">
        <f t="shared" si="22"/>
        <v>968</v>
      </c>
      <c r="G21" s="27">
        <f t="shared" si="22"/>
        <v>219</v>
      </c>
      <c r="H21" s="27">
        <f t="shared" si="22"/>
        <v>12583</v>
      </c>
      <c r="J21" s="18" t="s">
        <v>19</v>
      </c>
      <c r="K21" s="26">
        <f>K24+K27+K30+K33+K36+K39</f>
        <v>120.69999999999999</v>
      </c>
      <c r="L21" s="26">
        <f t="shared" si="18"/>
        <v>4467</v>
      </c>
      <c r="M21" s="26">
        <f>N21+O21+P21+Q21</f>
        <v>4056</v>
      </c>
      <c r="N21" s="26">
        <f t="shared" si="18"/>
        <v>478</v>
      </c>
      <c r="O21" s="26">
        <f t="shared" si="18"/>
        <v>348</v>
      </c>
      <c r="P21" s="26">
        <f t="shared" si="18"/>
        <v>47</v>
      </c>
      <c r="Q21" s="26">
        <f t="shared" si="18"/>
        <v>3183</v>
      </c>
      <c r="R21" s="244" t="s">
        <v>19</v>
      </c>
      <c r="S21" s="27">
        <f>S24+S27+S30+S33+S36+S39</f>
        <v>238.2</v>
      </c>
      <c r="T21" s="27">
        <f t="shared" si="19"/>
        <v>12405</v>
      </c>
      <c r="U21" s="27">
        <f>U24+U27+U30+U33+U36+U39</f>
        <v>11247</v>
      </c>
      <c r="V21" s="27">
        <f t="shared" si="19"/>
        <v>1203</v>
      </c>
      <c r="W21" s="27">
        <f t="shared" si="19"/>
        <v>620</v>
      </c>
      <c r="X21" s="27">
        <f t="shared" si="19"/>
        <v>172</v>
      </c>
      <c r="Y21" s="27">
        <f t="shared" si="19"/>
        <v>9252</v>
      </c>
      <c r="Z21" s="1"/>
      <c r="AA21" s="18" t="s">
        <v>19</v>
      </c>
      <c r="AB21" s="27">
        <f>AB24+AB27+AB30+AB33+AB36+AB39</f>
        <v>65.400000000000006</v>
      </c>
      <c r="AC21" s="27">
        <f t="shared" si="20"/>
        <v>4465</v>
      </c>
      <c r="AD21" s="27">
        <f>AD24+AD27+AD30+AD33+AD36+AD39</f>
        <v>4085</v>
      </c>
      <c r="AE21" s="27">
        <f t="shared" si="20"/>
        <v>974</v>
      </c>
      <c r="AF21" s="27">
        <f t="shared" si="20"/>
        <v>142</v>
      </c>
      <c r="AG21" s="27">
        <f t="shared" si="20"/>
        <v>92</v>
      </c>
      <c r="AH21" s="27">
        <f t="shared" si="20"/>
        <v>2877</v>
      </c>
      <c r="AI21" s="1"/>
      <c r="AJ21" s="18" t="s">
        <v>19</v>
      </c>
      <c r="AK21" s="6">
        <f>AK24+AK27+AK30+AK36+AK39</f>
        <v>3</v>
      </c>
      <c r="AL21" s="27">
        <f t="shared" si="21"/>
        <v>164</v>
      </c>
      <c r="AM21" s="27">
        <f>AM24+AM27+AM30+AM33+AM36+AM39</f>
        <v>148</v>
      </c>
      <c r="AN21" s="27">
        <f t="shared" si="21"/>
        <v>0</v>
      </c>
      <c r="AO21" s="27">
        <f t="shared" si="21"/>
        <v>0</v>
      </c>
      <c r="AP21" s="27">
        <f t="shared" si="21"/>
        <v>0</v>
      </c>
      <c r="AQ21" s="27">
        <f t="shared" si="21"/>
        <v>148</v>
      </c>
    </row>
    <row r="22" spans="1:43">
      <c r="A22" s="244" t="s">
        <v>20</v>
      </c>
      <c r="B22" s="26">
        <f t="shared" ref="B22:H22" si="23">B21/B20*100</f>
        <v>70.642201834862391</v>
      </c>
      <c r="C22" s="26">
        <f t="shared" si="23"/>
        <v>72.505958461014643</v>
      </c>
      <c r="D22" s="26">
        <f t="shared" si="23"/>
        <v>75.403835830364557</v>
      </c>
      <c r="E22" s="26">
        <f t="shared" si="23"/>
        <v>56.618390030313236</v>
      </c>
      <c r="F22" s="26">
        <f t="shared" si="23"/>
        <v>26.218851570964247</v>
      </c>
      <c r="G22" s="26">
        <f t="shared" si="23"/>
        <v>16.478555304740404</v>
      </c>
      <c r="H22" s="26">
        <f t="shared" si="23"/>
        <v>100.65594752419807</v>
      </c>
      <c r="J22" s="244" t="s">
        <v>20</v>
      </c>
      <c r="K22" s="26">
        <f t="shared" ref="K22:Q22" si="24">K21/K20*100</f>
        <v>74.140049140049129</v>
      </c>
      <c r="L22" s="26">
        <f t="shared" si="24"/>
        <v>75.737538148524919</v>
      </c>
      <c r="M22" s="26">
        <f t="shared" si="24"/>
        <v>82.205107417916494</v>
      </c>
      <c r="N22" s="26">
        <f t="shared" si="24"/>
        <v>101.91897654584221</v>
      </c>
      <c r="O22" s="26">
        <f t="shared" si="24"/>
        <v>42.909987669543774</v>
      </c>
      <c r="P22" s="26">
        <f t="shared" si="24"/>
        <v>8.2601054481546576</v>
      </c>
      <c r="Q22" s="26">
        <f t="shared" si="24"/>
        <v>103.17666126418152</v>
      </c>
      <c r="R22" s="244" t="s">
        <v>20</v>
      </c>
      <c r="S22" s="26">
        <f t="shared" ref="S22:Y22" si="25">S21/S20*100</f>
        <v>68.154506437768234</v>
      </c>
      <c r="T22" s="26">
        <f t="shared" si="25"/>
        <v>70.490964882372992</v>
      </c>
      <c r="U22" s="26">
        <f t="shared" si="25"/>
        <v>72.295429710098347</v>
      </c>
      <c r="V22" s="26">
        <f t="shared" si="25"/>
        <v>48.120000000000005</v>
      </c>
      <c r="W22" s="26">
        <f t="shared" si="25"/>
        <v>21.520305449496703</v>
      </c>
      <c r="X22" s="26">
        <f t="shared" si="25"/>
        <v>22.631578947368421</v>
      </c>
      <c r="Y22" s="26">
        <f t="shared" si="25"/>
        <v>98.258283772302462</v>
      </c>
      <c r="Z22" s="113"/>
      <c r="AA22" s="244" t="s">
        <v>20</v>
      </c>
      <c r="AB22" s="27">
        <f t="shared" ref="AB22:AH22" si="26">AB21/AB20*100</f>
        <v>77.580071174377224</v>
      </c>
      <c r="AC22" s="26">
        <f t="shared" si="26"/>
        <v>67.416578589762949</v>
      </c>
      <c r="AD22" s="26">
        <f t="shared" si="26"/>
        <v>68.875400438374641</v>
      </c>
      <c r="AE22" s="26">
        <f t="shared" si="26"/>
        <v>47.721705046545807</v>
      </c>
      <c r="AF22" s="26">
        <f t="shared" si="26"/>
        <v>27.151051625239003</v>
      </c>
      <c r="AG22" s="26">
        <f t="shared" si="26"/>
        <v>46</v>
      </c>
      <c r="AH22" s="26">
        <f t="shared" si="26"/>
        <v>90.843069150615733</v>
      </c>
      <c r="AI22" s="113"/>
      <c r="AJ22" s="244" t="s">
        <v>20</v>
      </c>
      <c r="AK22" s="26" t="e">
        <f>AK21/AK20*100</f>
        <v>#DIV/0!</v>
      </c>
      <c r="AL22" s="26" t="e">
        <f>AL21/AL20*100</f>
        <v>#DIV/0!</v>
      </c>
      <c r="AM22" s="26" t="e">
        <f>AM21/AM20*100</f>
        <v>#DIV/0!</v>
      </c>
      <c r="AN22" s="26">
        <v>0</v>
      </c>
      <c r="AO22" s="26" t="e">
        <f>AO21/AO20*100</f>
        <v>#DIV/0!</v>
      </c>
      <c r="AP22" s="26" t="e">
        <f>AP21/AP20*100</f>
        <v>#DIV/0!</v>
      </c>
      <c r="AQ22" s="26" t="e">
        <f>AQ21/AQ20*100</f>
        <v>#DIV/0!</v>
      </c>
    </row>
    <row r="23" spans="1:43">
      <c r="A23" s="6" t="s">
        <v>21</v>
      </c>
      <c r="B23" s="27">
        <f t="shared" ref="B23:H23" si="27">K23+S23+AK23</f>
        <v>113.3</v>
      </c>
      <c r="C23" s="27">
        <f t="shared" si="27"/>
        <v>7544</v>
      </c>
      <c r="D23" s="27">
        <f t="shared" si="27"/>
        <v>6401</v>
      </c>
      <c r="E23" s="27">
        <f t="shared" si="27"/>
        <v>1857</v>
      </c>
      <c r="F23" s="27">
        <f t="shared" si="27"/>
        <v>600</v>
      </c>
      <c r="G23" s="27">
        <f t="shared" si="27"/>
        <v>173</v>
      </c>
      <c r="H23" s="27">
        <f t="shared" si="27"/>
        <v>3771</v>
      </c>
      <c r="J23" s="6" t="s">
        <v>21</v>
      </c>
      <c r="K23" s="6">
        <v>43.3</v>
      </c>
      <c r="L23" s="6">
        <v>1987</v>
      </c>
      <c r="M23" s="6">
        <f>N23+O23+P23+Q23</f>
        <v>1412</v>
      </c>
      <c r="N23" s="6">
        <v>116</v>
      </c>
      <c r="O23" s="6">
        <v>223</v>
      </c>
      <c r="P23" s="6">
        <v>5</v>
      </c>
      <c r="Q23" s="6">
        <v>1068</v>
      </c>
      <c r="R23" s="6" t="s">
        <v>21</v>
      </c>
      <c r="S23" s="6">
        <v>70</v>
      </c>
      <c r="T23" s="26">
        <v>5557</v>
      </c>
      <c r="U23" s="6">
        <f>V23+W23+X23+Y23</f>
        <v>4989</v>
      </c>
      <c r="V23" s="6">
        <v>1741</v>
      </c>
      <c r="W23" s="6">
        <v>377</v>
      </c>
      <c r="X23" s="6">
        <v>168</v>
      </c>
      <c r="Y23" s="6">
        <v>2703</v>
      </c>
      <c r="Z23" s="1"/>
      <c r="AA23" s="6" t="s">
        <v>21</v>
      </c>
      <c r="AB23" s="27">
        <v>65.3</v>
      </c>
      <c r="AC23" s="6">
        <v>5144</v>
      </c>
      <c r="AD23" s="6">
        <f>AE23+AF23+AG23+AH23</f>
        <v>4637</v>
      </c>
      <c r="AE23" s="6">
        <v>1699</v>
      </c>
      <c r="AF23" s="6">
        <v>310</v>
      </c>
      <c r="AG23" s="6">
        <v>156</v>
      </c>
      <c r="AH23" s="6">
        <v>2472</v>
      </c>
      <c r="AI23" s="1"/>
      <c r="AJ23" s="6" t="s">
        <v>21</v>
      </c>
      <c r="AK23" s="6"/>
      <c r="AL23" s="6"/>
      <c r="AM23" s="6"/>
      <c r="AN23" s="6"/>
      <c r="AO23" s="6"/>
      <c r="AP23" s="6"/>
      <c r="AQ23" s="6"/>
    </row>
    <row r="24" spans="1:43">
      <c r="A24" s="6" t="s">
        <v>22</v>
      </c>
      <c r="B24" s="27">
        <f>K24+S24+AK24</f>
        <v>49.9</v>
      </c>
      <c r="C24" s="6">
        <f>L24+T24+AL24</f>
        <v>3502</v>
      </c>
      <c r="D24" s="6">
        <f>E24+F24+G24+H24</f>
        <v>3208</v>
      </c>
      <c r="E24" s="6">
        <f>N24+V24+AN24</f>
        <v>913</v>
      </c>
      <c r="F24" s="6">
        <f>O24+W24+AO24</f>
        <v>122</v>
      </c>
      <c r="G24" s="6">
        <f>P24+X24+AP24</f>
        <v>85</v>
      </c>
      <c r="H24" s="6">
        <f>Q24+Y24+AQ24</f>
        <v>2088</v>
      </c>
      <c r="J24" s="6" t="s">
        <v>22</v>
      </c>
      <c r="K24" s="6">
        <v>7.4</v>
      </c>
      <c r="L24" s="6">
        <v>370</v>
      </c>
      <c r="M24" s="26">
        <f>N24+O24+P24+Q24</f>
        <v>334</v>
      </c>
      <c r="N24" s="6">
        <v>11</v>
      </c>
      <c r="O24" s="6">
        <v>30</v>
      </c>
      <c r="P24" s="6">
        <v>13</v>
      </c>
      <c r="Q24" s="6">
        <v>280</v>
      </c>
      <c r="R24" s="6" t="s">
        <v>22</v>
      </c>
      <c r="S24" s="27">
        <v>42.5</v>
      </c>
      <c r="T24" s="6">
        <v>3132</v>
      </c>
      <c r="U24" s="6">
        <f>V24+W24+X24+Y24</f>
        <v>2874</v>
      </c>
      <c r="V24" s="6">
        <v>902</v>
      </c>
      <c r="W24" s="6">
        <v>92</v>
      </c>
      <c r="X24" s="6">
        <v>72</v>
      </c>
      <c r="Y24" s="6">
        <v>1808</v>
      </c>
      <c r="Z24" s="1"/>
      <c r="AA24" s="6" t="s">
        <v>22</v>
      </c>
      <c r="AB24" s="27">
        <v>42.5</v>
      </c>
      <c r="AC24" s="6">
        <v>3132</v>
      </c>
      <c r="AD24" s="6">
        <f>AE24+AF24+AG24+AH24</f>
        <v>2869</v>
      </c>
      <c r="AE24" s="6">
        <v>897</v>
      </c>
      <c r="AF24" s="6">
        <v>92</v>
      </c>
      <c r="AG24" s="6">
        <v>72</v>
      </c>
      <c r="AH24" s="6">
        <v>1808</v>
      </c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6">
        <f t="shared" ref="B25:H25" si="28">B24/B23*100</f>
        <v>44.042365401588704</v>
      </c>
      <c r="C25" s="26">
        <f t="shared" si="28"/>
        <v>46.420996818663838</v>
      </c>
      <c r="D25" s="26">
        <f t="shared" si="28"/>
        <v>50.117169192313703</v>
      </c>
      <c r="E25" s="26">
        <f t="shared" si="28"/>
        <v>49.16532040926225</v>
      </c>
      <c r="F25" s="26">
        <f t="shared" si="28"/>
        <v>20.333333333333332</v>
      </c>
      <c r="G25" s="26">
        <f t="shared" si="28"/>
        <v>49.132947976878611</v>
      </c>
      <c r="H25" s="26">
        <f t="shared" si="28"/>
        <v>55.369928400954649</v>
      </c>
      <c r="J25" s="6" t="s">
        <v>12</v>
      </c>
      <c r="K25" s="26">
        <f t="shared" ref="K25:Q25" si="29">K24/K23*100</f>
        <v>17.090069284064668</v>
      </c>
      <c r="L25" s="26">
        <f t="shared" si="29"/>
        <v>18.621036738802214</v>
      </c>
      <c r="M25" s="26">
        <f t="shared" si="29"/>
        <v>23.654390934844194</v>
      </c>
      <c r="N25" s="26">
        <f t="shared" si="29"/>
        <v>9.4827586206896548</v>
      </c>
      <c r="O25" s="26">
        <f t="shared" si="29"/>
        <v>13.452914798206278</v>
      </c>
      <c r="P25" s="26">
        <f t="shared" si="29"/>
        <v>260</v>
      </c>
      <c r="Q25" s="26">
        <f t="shared" si="29"/>
        <v>26.217228464419474</v>
      </c>
      <c r="R25" s="6" t="s">
        <v>12</v>
      </c>
      <c r="S25" s="26">
        <f t="shared" ref="S25:Y25" si="30">S24/S23*100</f>
        <v>60.714285714285708</v>
      </c>
      <c r="T25" s="26">
        <f t="shared" si="30"/>
        <v>56.361346050026995</v>
      </c>
      <c r="U25" s="26">
        <f t="shared" si="30"/>
        <v>57.606734816596514</v>
      </c>
      <c r="V25" s="26">
        <f t="shared" si="30"/>
        <v>51.809304997128095</v>
      </c>
      <c r="W25" s="26">
        <f t="shared" si="30"/>
        <v>24.403183023872678</v>
      </c>
      <c r="X25" s="26">
        <f t="shared" si="30"/>
        <v>42.857142857142854</v>
      </c>
      <c r="Y25" s="26">
        <f t="shared" si="30"/>
        <v>66.888642249352571</v>
      </c>
      <c r="Z25" s="113"/>
      <c r="AA25" s="6" t="s">
        <v>12</v>
      </c>
      <c r="AB25" s="26">
        <f>AB24/AB23*100</f>
        <v>65.084226646248084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26" t="e">
        <f>AQ24/AQ23*100</f>
        <v>#DIV/0!</v>
      </c>
    </row>
    <row r="26" spans="1:43">
      <c r="A26" s="6" t="s">
        <v>23</v>
      </c>
      <c r="B26" s="27">
        <f t="shared" ref="B26:H26" si="31">K26+S26+AK26</f>
        <v>62.800000000000004</v>
      </c>
      <c r="C26" s="27">
        <f t="shared" si="31"/>
        <v>2757</v>
      </c>
      <c r="D26" s="27">
        <f t="shared" si="31"/>
        <v>2071</v>
      </c>
      <c r="E26" s="27">
        <f t="shared" si="31"/>
        <v>267</v>
      </c>
      <c r="F26" s="27">
        <f t="shared" si="31"/>
        <v>551</v>
      </c>
      <c r="G26" s="27">
        <f t="shared" si="31"/>
        <v>108</v>
      </c>
      <c r="H26" s="27">
        <f t="shared" si="31"/>
        <v>1145</v>
      </c>
      <c r="J26" s="6" t="s">
        <v>23</v>
      </c>
      <c r="K26" s="6">
        <v>23.1</v>
      </c>
      <c r="L26" s="6">
        <v>941</v>
      </c>
      <c r="M26" s="6">
        <f>N26+O26+P26+Q26</f>
        <v>469</v>
      </c>
      <c r="N26" s="6">
        <v>107</v>
      </c>
      <c r="O26" s="6">
        <v>137</v>
      </c>
      <c r="P26" s="6">
        <v>39</v>
      </c>
      <c r="Q26" s="6">
        <v>186</v>
      </c>
      <c r="R26" s="6" t="s">
        <v>23</v>
      </c>
      <c r="S26" s="6">
        <v>39.700000000000003</v>
      </c>
      <c r="T26" s="26">
        <v>1816</v>
      </c>
      <c r="U26" s="6">
        <f>V26+W26+X26+Y26</f>
        <v>1602</v>
      </c>
      <c r="V26" s="6">
        <v>160</v>
      </c>
      <c r="W26" s="6">
        <v>414</v>
      </c>
      <c r="X26" s="6">
        <v>69</v>
      </c>
      <c r="Y26" s="6">
        <v>959</v>
      </c>
      <c r="Z26" s="1"/>
      <c r="AA26" s="6" t="s">
        <v>23</v>
      </c>
      <c r="AB26" s="27">
        <v>12.1</v>
      </c>
      <c r="AC26" s="6">
        <v>503</v>
      </c>
      <c r="AD26" s="6">
        <f>AE26+AF26+AG26+AH26</f>
        <v>380</v>
      </c>
      <c r="AE26" s="6">
        <v>77</v>
      </c>
      <c r="AF26" s="6">
        <v>56</v>
      </c>
      <c r="AG26" s="6">
        <v>17</v>
      </c>
      <c r="AH26" s="6">
        <v>230</v>
      </c>
      <c r="AI26" s="1"/>
      <c r="AJ26" s="6" t="s">
        <v>23</v>
      </c>
      <c r="AK26" s="6"/>
      <c r="AL26" s="6"/>
      <c r="AM26" s="6"/>
      <c r="AN26" s="6"/>
      <c r="AO26" s="6"/>
      <c r="AP26" s="6"/>
      <c r="AQ26" s="6"/>
    </row>
    <row r="27" spans="1:43">
      <c r="A27" s="6" t="s">
        <v>24</v>
      </c>
      <c r="B27" s="27">
        <f>K27+S27+AK27</f>
        <v>77.7</v>
      </c>
      <c r="C27" s="6">
        <f>L27+T27+AL27</f>
        <v>2536</v>
      </c>
      <c r="D27" s="6">
        <f>E27+F27+G27+H27</f>
        <v>2328</v>
      </c>
      <c r="E27" s="6">
        <f>N27+V27+AN27</f>
        <v>256</v>
      </c>
      <c r="F27" s="6">
        <f>O27+W27+AO27</f>
        <v>374</v>
      </c>
      <c r="G27" s="6">
        <f>P27+X27+AP27</f>
        <v>78</v>
      </c>
      <c r="H27" s="6">
        <f>Q27+Y27+AQ27</f>
        <v>1620</v>
      </c>
      <c r="J27" s="6" t="s">
        <v>24</v>
      </c>
      <c r="K27" s="6">
        <v>34.5</v>
      </c>
      <c r="L27" s="6">
        <v>693</v>
      </c>
      <c r="M27" s="26">
        <f>N27+O27+P27+Q27</f>
        <v>651</v>
      </c>
      <c r="N27" s="6">
        <v>56</v>
      </c>
      <c r="O27" s="6">
        <v>70</v>
      </c>
      <c r="P27" s="6">
        <v>17</v>
      </c>
      <c r="Q27" s="6">
        <v>508</v>
      </c>
      <c r="R27" s="6" t="s">
        <v>24</v>
      </c>
      <c r="S27" s="6">
        <v>43.2</v>
      </c>
      <c r="T27" s="6">
        <v>1833</v>
      </c>
      <c r="U27" s="6">
        <f>V27+W27+X27+Y27</f>
        <v>1667</v>
      </c>
      <c r="V27" s="6">
        <v>200</v>
      </c>
      <c r="W27" s="6">
        <v>304</v>
      </c>
      <c r="X27" s="6">
        <v>61</v>
      </c>
      <c r="Y27" s="6">
        <v>1102</v>
      </c>
      <c r="Z27" s="1"/>
      <c r="AA27" s="6" t="s">
        <v>24</v>
      </c>
      <c r="AB27" s="27">
        <v>14.6</v>
      </c>
      <c r="AC27" s="6">
        <v>533</v>
      </c>
      <c r="AD27" s="6">
        <f>AE27+AF27+AG27+AH27</f>
        <v>493</v>
      </c>
      <c r="AE27" s="6">
        <v>72</v>
      </c>
      <c r="AF27" s="6">
        <v>50</v>
      </c>
      <c r="AG27" s="6">
        <v>19</v>
      </c>
      <c r="AH27" s="6">
        <v>352</v>
      </c>
      <c r="AI27" s="1"/>
      <c r="AJ27" s="6" t="s">
        <v>24</v>
      </c>
      <c r="AK27" s="6"/>
      <c r="AL27" s="6">
        <v>10</v>
      </c>
      <c r="AM27" s="6">
        <f>AN27+AO27+AP27+AQ27</f>
        <v>10</v>
      </c>
      <c r="AN27" s="6"/>
      <c r="AO27" s="6"/>
      <c r="AP27" s="6"/>
      <c r="AQ27" s="6">
        <v>10</v>
      </c>
    </row>
    <row r="28" spans="1:43">
      <c r="A28" s="6" t="s">
        <v>12</v>
      </c>
      <c r="B28" s="26">
        <f t="shared" ref="B28:H28" si="32">B27/B26*100</f>
        <v>123.72611464968153</v>
      </c>
      <c r="C28" s="26">
        <f t="shared" si="32"/>
        <v>91.98404062386652</v>
      </c>
      <c r="D28" s="26">
        <f t="shared" si="32"/>
        <v>112.40946402704009</v>
      </c>
      <c r="E28" s="26">
        <f t="shared" si="32"/>
        <v>95.880149812734089</v>
      </c>
      <c r="F28" s="26">
        <f t="shared" si="32"/>
        <v>67.876588021778588</v>
      </c>
      <c r="G28" s="26">
        <f t="shared" si="32"/>
        <v>72.222222222222214</v>
      </c>
      <c r="H28" s="26">
        <f t="shared" si="32"/>
        <v>141.48471615720524</v>
      </c>
      <c r="J28" s="6" t="s">
        <v>12</v>
      </c>
      <c r="K28" s="26">
        <f t="shared" ref="K28:Q28" si="33">K27/K26*100</f>
        <v>149.35064935064935</v>
      </c>
      <c r="L28" s="26">
        <f t="shared" si="33"/>
        <v>73.645058448459082</v>
      </c>
      <c r="M28" s="26">
        <f t="shared" si="33"/>
        <v>138.80597014925374</v>
      </c>
      <c r="N28" s="26">
        <f t="shared" si="33"/>
        <v>52.336448598130836</v>
      </c>
      <c r="O28" s="26">
        <f t="shared" si="33"/>
        <v>51.094890510948908</v>
      </c>
      <c r="P28" s="26">
        <v>0</v>
      </c>
      <c r="Q28" s="26">
        <f t="shared" si="33"/>
        <v>273.11827956989248</v>
      </c>
      <c r="R28" s="6" t="s">
        <v>12</v>
      </c>
      <c r="S28" s="26">
        <f t="shared" ref="S28:Y28" si="34">S27/S26*100</f>
        <v>108.81612090680102</v>
      </c>
      <c r="T28" s="26">
        <f t="shared" si="34"/>
        <v>100.93612334801763</v>
      </c>
      <c r="U28" s="26">
        <f t="shared" si="34"/>
        <v>104.05742821473159</v>
      </c>
      <c r="V28" s="26">
        <f t="shared" si="34"/>
        <v>125</v>
      </c>
      <c r="W28" s="26">
        <f t="shared" si="34"/>
        <v>73.429951690821255</v>
      </c>
      <c r="X28" s="26">
        <f t="shared" si="34"/>
        <v>88.405797101449281</v>
      </c>
      <c r="Y28" s="26">
        <f t="shared" si="34"/>
        <v>114.91136600625651</v>
      </c>
      <c r="Z28" s="113"/>
      <c r="AA28" s="6" t="s">
        <v>12</v>
      </c>
      <c r="AB28" s="26">
        <f>AB27/AB26*100</f>
        <v>120.66115702479338</v>
      </c>
      <c r="AC28" s="26"/>
      <c r="AD28" s="26"/>
      <c r="AE28" s="26"/>
      <c r="AF28" s="26"/>
      <c r="AG28" s="26"/>
      <c r="AH28" s="26"/>
      <c r="AI28" s="113"/>
      <c r="AJ28" s="6" t="s">
        <v>12</v>
      </c>
      <c r="AK28" s="26" t="e">
        <f>AK27/AK26*100</f>
        <v>#DIV/0!</v>
      </c>
      <c r="AL28" s="26" t="e">
        <f>AL27/AL26*100</f>
        <v>#DIV/0!</v>
      </c>
      <c r="AM28" s="26" t="e">
        <f>AM27/AM26*100</f>
        <v>#DIV/0!</v>
      </c>
      <c r="AN28" s="26">
        <v>0</v>
      </c>
      <c r="AO28" s="26" t="e">
        <f>AO27/AO26*100</f>
        <v>#DIV/0!</v>
      </c>
      <c r="AP28" s="26">
        <v>0</v>
      </c>
      <c r="AQ28" s="26" t="e">
        <f>AQ27/AQ26*100</f>
        <v>#DIV/0!</v>
      </c>
    </row>
    <row r="29" spans="1:43">
      <c r="A29" s="6" t="s">
        <v>25</v>
      </c>
      <c r="B29" s="27">
        <f t="shared" ref="B29:H29" si="35">K29+S29+AK29</f>
        <v>66.7</v>
      </c>
      <c r="C29" s="27">
        <f t="shared" si="35"/>
        <v>2576</v>
      </c>
      <c r="D29" s="27">
        <f t="shared" si="35"/>
        <v>2302</v>
      </c>
      <c r="E29" s="27">
        <f t="shared" si="35"/>
        <v>198</v>
      </c>
      <c r="F29" s="27">
        <f t="shared" si="35"/>
        <v>502</v>
      </c>
      <c r="G29" s="27">
        <f t="shared" si="35"/>
        <v>164</v>
      </c>
      <c r="H29" s="27">
        <f t="shared" si="35"/>
        <v>1438</v>
      </c>
      <c r="J29" s="6" t="s">
        <v>25</v>
      </c>
      <c r="K29" s="6">
        <v>22.2</v>
      </c>
      <c r="L29" s="6">
        <v>439</v>
      </c>
      <c r="M29" s="6">
        <f>N29+O29+P29+Q29</f>
        <v>380</v>
      </c>
      <c r="N29" s="6">
        <v>14</v>
      </c>
      <c r="O29" s="6">
        <v>44</v>
      </c>
      <c r="P29" s="6">
        <v>82</v>
      </c>
      <c r="Q29" s="6">
        <v>240</v>
      </c>
      <c r="R29" s="6" t="s">
        <v>25</v>
      </c>
      <c r="S29" s="6">
        <v>44.5</v>
      </c>
      <c r="T29" s="26">
        <v>2137</v>
      </c>
      <c r="U29" s="6">
        <f>V29+W29+X29+Y29</f>
        <v>1922</v>
      </c>
      <c r="V29" s="6">
        <v>184</v>
      </c>
      <c r="W29" s="6">
        <v>458</v>
      </c>
      <c r="X29" s="6">
        <v>82</v>
      </c>
      <c r="Y29" s="6">
        <v>1198</v>
      </c>
      <c r="Z29" s="1"/>
      <c r="AA29" s="6" t="s">
        <v>25</v>
      </c>
      <c r="AB29" s="27">
        <v>2.5</v>
      </c>
      <c r="AC29" s="6">
        <v>137</v>
      </c>
      <c r="AD29" s="6">
        <f>AE29+AF29+AG29+AH29</f>
        <v>120</v>
      </c>
      <c r="AE29" s="6">
        <v>24</v>
      </c>
      <c r="AF29" s="6">
        <v>18</v>
      </c>
      <c r="AG29" s="6">
        <v>5</v>
      </c>
      <c r="AH29" s="6">
        <v>73</v>
      </c>
      <c r="AI29" s="1"/>
      <c r="AJ29" s="6" t="s">
        <v>25</v>
      </c>
      <c r="AK29" s="6"/>
      <c r="AL29" s="6"/>
      <c r="AM29" s="6"/>
      <c r="AN29" s="6"/>
      <c r="AO29" s="6"/>
      <c r="AP29" s="6"/>
      <c r="AQ29" s="6"/>
    </row>
    <row r="30" spans="1:43">
      <c r="A30" s="6" t="s">
        <v>26</v>
      </c>
      <c r="B30" s="27">
        <f>K30+S30+AK30</f>
        <v>53.4</v>
      </c>
      <c r="C30" s="6">
        <f>L30+T30+AL30</f>
        <v>2329</v>
      </c>
      <c r="D30" s="6">
        <f>E30+F30+G30+H30</f>
        <v>2025</v>
      </c>
      <c r="E30" s="6">
        <f>N30+V30+AN30</f>
        <v>76</v>
      </c>
      <c r="F30" s="6">
        <f>O30+W30+AO30</f>
        <v>122</v>
      </c>
      <c r="G30" s="6">
        <f>P30+X30+AP30</f>
        <v>16</v>
      </c>
      <c r="H30" s="6">
        <f>Q30+Y30+AQ30</f>
        <v>1811</v>
      </c>
      <c r="J30" s="6" t="s">
        <v>26</v>
      </c>
      <c r="K30" s="6">
        <v>20.5</v>
      </c>
      <c r="L30" s="6">
        <v>621</v>
      </c>
      <c r="M30" s="26">
        <f>N30+O30+P30+Q30</f>
        <v>497</v>
      </c>
      <c r="N30" s="6">
        <v>22</v>
      </c>
      <c r="O30" s="6">
        <v>16</v>
      </c>
      <c r="P30" s="6"/>
      <c r="Q30" s="6">
        <v>459</v>
      </c>
      <c r="R30" s="6" t="s">
        <v>26</v>
      </c>
      <c r="S30" s="27">
        <v>32.9</v>
      </c>
      <c r="T30" s="6">
        <v>1697</v>
      </c>
      <c r="U30" s="6">
        <f>V30+W30+X30+Y30</f>
        <v>1518</v>
      </c>
      <c r="V30" s="6">
        <v>54</v>
      </c>
      <c r="W30" s="6">
        <v>106</v>
      </c>
      <c r="X30" s="6">
        <v>16</v>
      </c>
      <c r="Y30" s="6">
        <v>1342</v>
      </c>
      <c r="Z30" s="1"/>
      <c r="AA30" s="6" t="s">
        <v>26</v>
      </c>
      <c r="AB30" s="27">
        <v>0.4</v>
      </c>
      <c r="AC30" s="6">
        <v>32</v>
      </c>
      <c r="AD30" s="6">
        <f>AE30+AF30+AG30+AH30</f>
        <v>22</v>
      </c>
      <c r="AE30" s="6"/>
      <c r="AF30" s="6"/>
      <c r="AG30" s="6"/>
      <c r="AH30" s="6">
        <v>22</v>
      </c>
      <c r="AI30" s="1"/>
      <c r="AJ30" s="6" t="s">
        <v>26</v>
      </c>
      <c r="AK30" s="6"/>
      <c r="AL30" s="6">
        <v>11</v>
      </c>
      <c r="AM30" s="6">
        <f>AN30+AO30+AP30+AQ30</f>
        <v>10</v>
      </c>
      <c r="AN30" s="6"/>
      <c r="AO30" s="6"/>
      <c r="AP30" s="6"/>
      <c r="AQ30" s="6">
        <v>10</v>
      </c>
    </row>
    <row r="31" spans="1:43">
      <c r="A31" s="6" t="s">
        <v>12</v>
      </c>
      <c r="B31" s="26">
        <f t="shared" ref="B31:H31" si="36">B30/B29*100</f>
        <v>80.059970014992501</v>
      </c>
      <c r="C31" s="26">
        <f t="shared" si="36"/>
        <v>90.411490683229815</v>
      </c>
      <c r="D31" s="26">
        <f t="shared" si="36"/>
        <v>87.96698523023457</v>
      </c>
      <c r="E31" s="26">
        <f t="shared" si="36"/>
        <v>38.383838383838381</v>
      </c>
      <c r="F31" s="26">
        <f t="shared" si="36"/>
        <v>24.302788844621514</v>
      </c>
      <c r="G31" s="26">
        <f t="shared" si="36"/>
        <v>9.7560975609756095</v>
      </c>
      <c r="H31" s="26">
        <f t="shared" si="36"/>
        <v>125.93880389429764</v>
      </c>
      <c r="J31" s="6" t="s">
        <v>12</v>
      </c>
      <c r="K31" s="26">
        <f t="shared" ref="K31:Q31" si="37">K30/K29*100</f>
        <v>92.342342342342349</v>
      </c>
      <c r="L31" s="26">
        <f t="shared" si="37"/>
        <v>141.45785876993168</v>
      </c>
      <c r="M31" s="26">
        <f t="shared" si="37"/>
        <v>130.78947368421052</v>
      </c>
      <c r="N31" s="26">
        <f t="shared" si="37"/>
        <v>157.14285714285714</v>
      </c>
      <c r="O31" s="26">
        <f t="shared" si="37"/>
        <v>36.363636363636367</v>
      </c>
      <c r="P31" s="26">
        <f t="shared" si="37"/>
        <v>0</v>
      </c>
      <c r="Q31" s="26">
        <f t="shared" si="37"/>
        <v>191.25</v>
      </c>
      <c r="R31" s="6" t="s">
        <v>12</v>
      </c>
      <c r="S31" s="26">
        <f t="shared" ref="S31:Y31" si="38">S30/S29*100</f>
        <v>73.932584269662911</v>
      </c>
      <c r="T31" s="26">
        <f t="shared" si="38"/>
        <v>79.410388394946182</v>
      </c>
      <c r="U31" s="26">
        <f t="shared" si="38"/>
        <v>78.980228928199793</v>
      </c>
      <c r="V31" s="26">
        <f t="shared" si="38"/>
        <v>29.347826086956523</v>
      </c>
      <c r="W31" s="26">
        <f t="shared" si="38"/>
        <v>23.144104803493452</v>
      </c>
      <c r="X31" s="26">
        <f t="shared" si="38"/>
        <v>19.512195121951219</v>
      </c>
      <c r="Y31" s="26">
        <f t="shared" si="38"/>
        <v>112.02003338898163</v>
      </c>
      <c r="Z31" s="113"/>
      <c r="AA31" s="6" t="s">
        <v>12</v>
      </c>
      <c r="AB31" s="26">
        <f>AB30/AB29*100</f>
        <v>16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 t="e">
        <f>AK30/AK29*100</f>
        <v>#DIV/0!</v>
      </c>
      <c r="AL31" s="26" t="e">
        <f>AL30/AL29*100</f>
        <v>#DIV/0!</v>
      </c>
      <c r="AM31" s="26" t="e">
        <f>AM30/AM29*100</f>
        <v>#DIV/0!</v>
      </c>
      <c r="AN31" s="26">
        <v>0</v>
      </c>
      <c r="AO31" s="26" t="e">
        <f>AO30/AO29*100</f>
        <v>#DIV/0!</v>
      </c>
      <c r="AP31" s="26">
        <v>0</v>
      </c>
      <c r="AQ31" s="26" t="e">
        <f>AQ30/AQ29*100</f>
        <v>#DIV/0!</v>
      </c>
    </row>
    <row r="32" spans="1:43">
      <c r="A32" s="6" t="s">
        <v>27</v>
      </c>
      <c r="B32" s="27">
        <f t="shared" ref="B32:H32" si="39">K32+S32+AK32</f>
        <v>3.5</v>
      </c>
      <c r="C32" s="27">
        <f t="shared" si="39"/>
        <v>321</v>
      </c>
      <c r="D32" s="27">
        <f t="shared" si="39"/>
        <v>288</v>
      </c>
      <c r="E32" s="27">
        <f t="shared" si="39"/>
        <v>160</v>
      </c>
      <c r="F32" s="27">
        <f t="shared" si="39"/>
        <v>65</v>
      </c>
      <c r="G32" s="27">
        <f t="shared" si="39"/>
        <v>0</v>
      </c>
      <c r="H32" s="27">
        <f t="shared" si="39"/>
        <v>63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3.5</v>
      </c>
      <c r="T32" s="26">
        <v>321</v>
      </c>
      <c r="U32" s="6">
        <f>V32+W32+X32+Y32</f>
        <v>288</v>
      </c>
      <c r="V32" s="6">
        <v>160</v>
      </c>
      <c r="W32" s="6">
        <v>65</v>
      </c>
      <c r="X32" s="6"/>
      <c r="Y32" s="6">
        <v>63</v>
      </c>
      <c r="Z32" s="1"/>
      <c r="AA32" s="6" t="s">
        <v>27</v>
      </c>
      <c r="AB32" s="27"/>
      <c r="AC32" s="6">
        <v>316</v>
      </c>
      <c r="AD32" s="6">
        <f>AE32+AF32+AG32+AH32</f>
        <v>284</v>
      </c>
      <c r="AE32" s="6">
        <v>158</v>
      </c>
      <c r="AF32" s="6">
        <v>64</v>
      </c>
      <c r="AG32" s="6"/>
      <c r="AH32" s="6">
        <v>62</v>
      </c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27">
        <f>K33+S33+AK33</f>
        <v>1</v>
      </c>
      <c r="C33" s="6">
        <f>L33+T33+AL33</f>
        <v>21</v>
      </c>
      <c r="D33" s="6">
        <f>E33+F33+G33+H33</f>
        <v>20</v>
      </c>
      <c r="E33" s="6">
        <f>N33+V33+AN33</f>
        <v>5</v>
      </c>
      <c r="F33" s="6">
        <f>O33+W33+AO33</f>
        <v>0</v>
      </c>
      <c r="G33" s="6">
        <f>P33+X33+AP33</f>
        <v>1</v>
      </c>
      <c r="H33" s="6">
        <f>Q33+Y33+AQ33</f>
        <v>14</v>
      </c>
      <c r="J33" s="6" t="s">
        <v>28</v>
      </c>
      <c r="K33" s="6"/>
      <c r="L33" s="6"/>
      <c r="M33" s="26">
        <f>N33+O33+P33+Q33</f>
        <v>0</v>
      </c>
      <c r="N33" s="6"/>
      <c r="O33" s="6"/>
      <c r="P33" s="6"/>
      <c r="Q33" s="6"/>
      <c r="R33" s="6" t="s">
        <v>28</v>
      </c>
      <c r="S33" s="6">
        <v>1</v>
      </c>
      <c r="T33" s="6">
        <v>21</v>
      </c>
      <c r="U33" s="6">
        <f>V33+W33+X33+Y33</f>
        <v>20</v>
      </c>
      <c r="V33" s="6">
        <v>5</v>
      </c>
      <c r="W33" s="6"/>
      <c r="X33" s="6">
        <v>1</v>
      </c>
      <c r="Y33" s="6">
        <v>14</v>
      </c>
      <c r="Z33" s="1"/>
      <c r="AA33" s="6" t="s">
        <v>28</v>
      </c>
      <c r="AB33" s="6">
        <v>1</v>
      </c>
      <c r="AC33" s="6">
        <v>21</v>
      </c>
      <c r="AD33" s="6">
        <f>AE33+AF33+AG33+AH33</f>
        <v>20</v>
      </c>
      <c r="AE33" s="6">
        <v>5</v>
      </c>
      <c r="AF33" s="6"/>
      <c r="AG33" s="6">
        <v>1</v>
      </c>
      <c r="AH33" s="6">
        <v>14</v>
      </c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6">
        <f t="shared" ref="B34:H34" si="40">B33/B32*100</f>
        <v>28.571428571428569</v>
      </c>
      <c r="C34" s="26">
        <f t="shared" si="40"/>
        <v>6.5420560747663545</v>
      </c>
      <c r="D34" s="26">
        <f t="shared" si="40"/>
        <v>6.9444444444444446</v>
      </c>
      <c r="E34" s="26">
        <f t="shared" si="40"/>
        <v>3.125</v>
      </c>
      <c r="F34" s="26">
        <f t="shared" si="40"/>
        <v>0</v>
      </c>
      <c r="G34" s="26" t="e">
        <f t="shared" si="40"/>
        <v>#DIV/0!</v>
      </c>
      <c r="H34" s="26">
        <f t="shared" si="40"/>
        <v>22.222222222222221</v>
      </c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f t="shared" ref="S34:Y34" si="41">S33/S32*100</f>
        <v>28.571428571428569</v>
      </c>
      <c r="T34" s="26">
        <f t="shared" si="41"/>
        <v>6.5420560747663545</v>
      </c>
      <c r="U34" s="26">
        <f t="shared" si="41"/>
        <v>6.9444444444444446</v>
      </c>
      <c r="V34" s="26">
        <f t="shared" si="41"/>
        <v>3.125</v>
      </c>
      <c r="W34" s="26">
        <f t="shared" si="41"/>
        <v>0</v>
      </c>
      <c r="X34" s="26" t="e">
        <f t="shared" si="41"/>
        <v>#DIV/0!</v>
      </c>
      <c r="Y34" s="26">
        <f t="shared" si="41"/>
        <v>22.222222222222221</v>
      </c>
      <c r="Z34" s="113"/>
      <c r="AA34" s="6" t="s">
        <v>12</v>
      </c>
      <c r="AB34" s="26" t="e">
        <f>AB33/AB32*100</f>
        <v>#DIV/0!</v>
      </c>
      <c r="AC34" s="26">
        <f t="shared" ref="AC34:AH34" si="42">AC33/AC32*100</f>
        <v>6.6455696202531636</v>
      </c>
      <c r="AD34" s="26">
        <v>501</v>
      </c>
      <c r="AE34" s="26">
        <f t="shared" si="42"/>
        <v>3.1645569620253164</v>
      </c>
      <c r="AF34" s="26">
        <f t="shared" si="42"/>
        <v>0</v>
      </c>
      <c r="AG34" s="26" t="e">
        <f t="shared" si="42"/>
        <v>#DIV/0!</v>
      </c>
      <c r="AH34" s="26">
        <f t="shared" si="42"/>
        <v>22.58064516129032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>
      <c r="A35" s="6" t="s">
        <v>29</v>
      </c>
      <c r="B35" s="27">
        <f t="shared" ref="B35:H35" si="43">K35+S35+AK35</f>
        <v>129.19999999999999</v>
      </c>
      <c r="C35" s="27">
        <f t="shared" si="43"/>
        <v>5448</v>
      </c>
      <c r="D35" s="27">
        <f t="shared" si="43"/>
        <v>4846</v>
      </c>
      <c r="E35" s="27">
        <f t="shared" si="43"/>
        <v>0</v>
      </c>
      <c r="F35" s="27">
        <f t="shared" si="43"/>
        <v>1304</v>
      </c>
      <c r="G35" s="27">
        <f t="shared" si="43"/>
        <v>381</v>
      </c>
      <c r="H35" s="27">
        <f t="shared" si="43"/>
        <v>3161</v>
      </c>
      <c r="J35" s="6" t="s">
        <v>29</v>
      </c>
      <c r="K35" s="6"/>
      <c r="L35" s="6">
        <v>109</v>
      </c>
      <c r="M35" s="6">
        <f>N35+O35+P35+Q35</f>
        <v>97</v>
      </c>
      <c r="N35" s="6"/>
      <c r="O35" s="6">
        <v>25</v>
      </c>
      <c r="P35" s="6">
        <v>8</v>
      </c>
      <c r="Q35" s="6">
        <v>64</v>
      </c>
      <c r="R35" s="6" t="s">
        <v>29</v>
      </c>
      <c r="S35" s="6">
        <v>129.19999999999999</v>
      </c>
      <c r="T35" s="26">
        <v>5339</v>
      </c>
      <c r="U35" s="6">
        <f>V35+W35+X35+Y35</f>
        <v>4749</v>
      </c>
      <c r="V35" s="6"/>
      <c r="W35" s="6">
        <v>1279</v>
      </c>
      <c r="X35" s="6">
        <v>373</v>
      </c>
      <c r="Y35" s="6">
        <v>3097</v>
      </c>
      <c r="Z35" s="1"/>
      <c r="AA35" s="6" t="s">
        <v>29</v>
      </c>
      <c r="AB35" s="27"/>
      <c r="AC35" s="6"/>
      <c r="AD35" s="6"/>
      <c r="AE35" s="6"/>
      <c r="AF35" s="6"/>
      <c r="AG35" s="6"/>
      <c r="AH35" s="6"/>
      <c r="AI35" s="1"/>
      <c r="AJ35" s="6" t="s">
        <v>29</v>
      </c>
      <c r="AK35" s="6"/>
      <c r="AL35" s="6"/>
      <c r="AM35" s="6"/>
      <c r="AN35" s="6"/>
      <c r="AO35" s="6"/>
      <c r="AP35" s="6"/>
      <c r="AQ35" s="6"/>
    </row>
    <row r="36" spans="1:43">
      <c r="A36" s="6" t="s">
        <v>30</v>
      </c>
      <c r="B36" s="27">
        <f>K36+S36+AK36</f>
        <v>64.099999999999994</v>
      </c>
      <c r="C36" s="6">
        <f>L36+T36+AL36</f>
        <v>3004</v>
      </c>
      <c r="D36" s="6">
        <f>E36+F36+G36+H36</f>
        <v>2742</v>
      </c>
      <c r="E36" s="6">
        <f>N36+V36+AN36</f>
        <v>3</v>
      </c>
      <c r="F36" s="6">
        <f>O36+W36+AO36</f>
        <v>26</v>
      </c>
      <c r="G36" s="6">
        <f>P36+X36+AP36</f>
        <v>7</v>
      </c>
      <c r="H36" s="6">
        <f>Q36+Y36+AQ36</f>
        <v>2706</v>
      </c>
      <c r="J36" s="6" t="s">
        <v>30</v>
      </c>
      <c r="K36" s="6"/>
      <c r="L36" s="6">
        <v>36</v>
      </c>
      <c r="M36" s="26">
        <f>N36+O36+P36+Q36</f>
        <v>27</v>
      </c>
      <c r="N36" s="6">
        <v>3</v>
      </c>
      <c r="O36" s="6">
        <v>2</v>
      </c>
      <c r="P36" s="6"/>
      <c r="Q36" s="6">
        <v>22</v>
      </c>
      <c r="R36" s="6" t="s">
        <v>30</v>
      </c>
      <c r="S36" s="6">
        <v>64.099999999999994</v>
      </c>
      <c r="T36" s="6">
        <v>2968</v>
      </c>
      <c r="U36" s="6">
        <f>V36+W36+X36+Y36</f>
        <v>2715</v>
      </c>
      <c r="V36" s="6"/>
      <c r="W36" s="6">
        <v>24</v>
      </c>
      <c r="X36" s="6">
        <v>7</v>
      </c>
      <c r="Y36" s="6">
        <v>2684</v>
      </c>
      <c r="Z36" s="1"/>
      <c r="AA36" s="6" t="s">
        <v>30</v>
      </c>
      <c r="AB36" s="27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6">
        <f t="shared" ref="B37:H37" si="44">B36/B35*100</f>
        <v>49.61300309597523</v>
      </c>
      <c r="C37" s="26">
        <f t="shared" si="44"/>
        <v>55.139500734214387</v>
      </c>
      <c r="D37" s="26">
        <f t="shared" si="44"/>
        <v>56.582748658687578</v>
      </c>
      <c r="E37" s="26" t="e">
        <f t="shared" si="44"/>
        <v>#DIV/0!</v>
      </c>
      <c r="F37" s="26">
        <f t="shared" si="44"/>
        <v>1.9938650306748467</v>
      </c>
      <c r="G37" s="26">
        <f t="shared" si="44"/>
        <v>1.837270341207349</v>
      </c>
      <c r="H37" s="26">
        <f t="shared" si="44"/>
        <v>85.605820942739641</v>
      </c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5">S36/S35*100</f>
        <v>49.61300309597523</v>
      </c>
      <c r="T37" s="26">
        <f t="shared" si="45"/>
        <v>55.590934631953544</v>
      </c>
      <c r="U37" s="26" t="s">
        <v>63</v>
      </c>
      <c r="V37" s="26" t="e">
        <f t="shared" si="45"/>
        <v>#DIV/0!</v>
      </c>
      <c r="W37" s="26">
        <f t="shared" si="45"/>
        <v>1.8764659890539486</v>
      </c>
      <c r="X37" s="26">
        <f t="shared" si="45"/>
        <v>1.8766756032171581</v>
      </c>
      <c r="Y37" s="26">
        <f t="shared" si="45"/>
        <v>86.664514045850822</v>
      </c>
      <c r="Z37" s="113"/>
      <c r="AA37" s="6" t="s">
        <v>12</v>
      </c>
      <c r="AB37" s="26" t="e">
        <f>AB36/AB35*100</f>
        <v>#DIV/0!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 t="e">
        <f>AK36/AK35*100</f>
        <v>#DIV/0!</v>
      </c>
      <c r="AL37" s="26" t="e">
        <f>AL36/AL35*100</f>
        <v>#DIV/0!</v>
      </c>
      <c r="AM37" s="26" t="e">
        <f>AM36/AM35*100</f>
        <v>#DIV/0!</v>
      </c>
      <c r="AN37" s="26">
        <v>0</v>
      </c>
      <c r="AO37" s="26" t="e">
        <f>AO36/AO35*100</f>
        <v>#DIV/0!</v>
      </c>
      <c r="AP37" s="26">
        <v>0</v>
      </c>
      <c r="AQ37" s="26" t="e">
        <f>AQ36/AQ35*100</f>
        <v>#DIV/0!</v>
      </c>
    </row>
    <row r="38" spans="1:43">
      <c r="A38" s="6" t="s">
        <v>31</v>
      </c>
      <c r="B38" s="27">
        <f t="shared" ref="B38:H38" si="46">K38+S38+AK38</f>
        <v>136.80000000000001</v>
      </c>
      <c r="C38" s="27">
        <f t="shared" si="46"/>
        <v>4850</v>
      </c>
      <c r="D38" s="27">
        <f t="shared" si="46"/>
        <v>4583</v>
      </c>
      <c r="E38" s="27">
        <f t="shared" si="46"/>
        <v>487</v>
      </c>
      <c r="F38" s="27">
        <f t="shared" si="46"/>
        <v>670</v>
      </c>
      <c r="G38" s="27">
        <f t="shared" si="46"/>
        <v>503</v>
      </c>
      <c r="H38" s="27">
        <f t="shared" si="46"/>
        <v>2923</v>
      </c>
      <c r="J38" s="6" t="s">
        <v>31</v>
      </c>
      <c r="K38" s="27">
        <v>74.2</v>
      </c>
      <c r="L38" s="6">
        <v>2422</v>
      </c>
      <c r="M38" s="6">
        <f>N38+O38+P38+Q38</f>
        <v>2576</v>
      </c>
      <c r="N38" s="6">
        <v>232</v>
      </c>
      <c r="O38" s="6">
        <v>382</v>
      </c>
      <c r="P38" s="6">
        <v>435</v>
      </c>
      <c r="Q38" s="6">
        <v>1527</v>
      </c>
      <c r="R38" s="6" t="s">
        <v>31</v>
      </c>
      <c r="S38" s="6">
        <v>62.6</v>
      </c>
      <c r="T38" s="26">
        <v>2428</v>
      </c>
      <c r="U38" s="6">
        <f>V38+W38+X38+Y38</f>
        <v>2007</v>
      </c>
      <c r="V38" s="6">
        <v>255</v>
      </c>
      <c r="W38" s="6">
        <v>288</v>
      </c>
      <c r="X38" s="6">
        <v>68</v>
      </c>
      <c r="Y38" s="6">
        <v>1396</v>
      </c>
      <c r="Z38" s="1"/>
      <c r="AA38" s="6" t="s">
        <v>31</v>
      </c>
      <c r="AB38" s="27">
        <v>4.4000000000000004</v>
      </c>
      <c r="AC38" s="6">
        <v>523</v>
      </c>
      <c r="AD38" s="6">
        <f>AE38+AF38+AG38+AH38</f>
        <v>510</v>
      </c>
      <c r="AE38" s="6">
        <v>83</v>
      </c>
      <c r="AF38" s="6">
        <v>75</v>
      </c>
      <c r="AG38" s="6">
        <v>22</v>
      </c>
      <c r="AH38" s="6">
        <v>330</v>
      </c>
      <c r="AI38" s="1"/>
      <c r="AJ38" s="6" t="s">
        <v>31</v>
      </c>
      <c r="AK38" s="6"/>
      <c r="AL38" s="6"/>
      <c r="AM38" s="6"/>
      <c r="AN38" s="6"/>
      <c r="AO38" s="6"/>
      <c r="AP38" s="6"/>
      <c r="AQ38" s="6"/>
    </row>
    <row r="39" spans="1:43">
      <c r="A39" s="6" t="s">
        <v>32</v>
      </c>
      <c r="B39" s="27">
        <f>K39+S39+AK39</f>
        <v>115.8</v>
      </c>
      <c r="C39" s="6">
        <f>L39+T39+AL39</f>
        <v>5644</v>
      </c>
      <c r="D39" s="6">
        <f>E39+F39+G39+H39</f>
        <v>5128</v>
      </c>
      <c r="E39" s="6">
        <f>N39+V39+AN39</f>
        <v>428</v>
      </c>
      <c r="F39" s="6">
        <f>O39+W39+AO39</f>
        <v>324</v>
      </c>
      <c r="G39" s="6">
        <f>P39+X39+AP39</f>
        <v>32</v>
      </c>
      <c r="H39" s="6">
        <f>Q39+Y39+AQ39</f>
        <v>4344</v>
      </c>
      <c r="J39" s="6" t="s">
        <v>32</v>
      </c>
      <c r="K39" s="27">
        <v>58.3</v>
      </c>
      <c r="L39" s="6">
        <v>2747</v>
      </c>
      <c r="M39" s="26">
        <f>N39+O39+P39+Q39</f>
        <v>2547</v>
      </c>
      <c r="N39" s="6">
        <v>386</v>
      </c>
      <c r="O39" s="6">
        <v>230</v>
      </c>
      <c r="P39" s="6">
        <v>17</v>
      </c>
      <c r="Q39" s="6">
        <v>1914</v>
      </c>
      <c r="R39" s="6" t="s">
        <v>32</v>
      </c>
      <c r="S39" s="27">
        <v>54.5</v>
      </c>
      <c r="T39" s="6">
        <v>2754</v>
      </c>
      <c r="U39" s="6">
        <f>V39+W39+X39+Y39</f>
        <v>2453</v>
      </c>
      <c r="V39" s="6">
        <v>42</v>
      </c>
      <c r="W39" s="6">
        <v>94</v>
      </c>
      <c r="X39" s="6">
        <v>15</v>
      </c>
      <c r="Y39" s="6">
        <v>2302</v>
      </c>
      <c r="Z39" s="1"/>
      <c r="AA39" s="6" t="s">
        <v>32</v>
      </c>
      <c r="AB39" s="27">
        <v>6.9</v>
      </c>
      <c r="AC39" s="6">
        <v>747</v>
      </c>
      <c r="AD39" s="6">
        <f>AE39+AF39+AG39+AH39</f>
        <v>681</v>
      </c>
      <c r="AE39" s="6"/>
      <c r="AF39" s="6"/>
      <c r="AG39" s="6"/>
      <c r="AH39" s="6">
        <v>681</v>
      </c>
      <c r="AI39" s="1"/>
      <c r="AJ39" s="6" t="s">
        <v>32</v>
      </c>
      <c r="AK39" s="6">
        <v>3</v>
      </c>
      <c r="AL39" s="6">
        <v>143</v>
      </c>
      <c r="AM39" s="6">
        <f>AN39+AO39+AP39+AQ39</f>
        <v>128</v>
      </c>
      <c r="AN39" s="6"/>
      <c r="AO39" s="6"/>
      <c r="AP39" s="6"/>
      <c r="AQ39" s="6">
        <v>128</v>
      </c>
    </row>
    <row r="40" spans="1:43">
      <c r="A40" s="6" t="s">
        <v>12</v>
      </c>
      <c r="B40" s="26">
        <f t="shared" ref="B40:H40" si="47">B39/B38*100</f>
        <v>84.649122807017534</v>
      </c>
      <c r="C40" s="26">
        <f t="shared" si="47"/>
        <v>116.37113402061856</v>
      </c>
      <c r="D40" s="26">
        <f t="shared" si="47"/>
        <v>111.89177394719616</v>
      </c>
      <c r="E40" s="26">
        <f t="shared" si="47"/>
        <v>87.885010266940455</v>
      </c>
      <c r="F40" s="26">
        <f t="shared" si="47"/>
        <v>48.35820895522388</v>
      </c>
      <c r="G40" s="26">
        <f t="shared" si="47"/>
        <v>6.3618290258449299</v>
      </c>
      <c r="H40" s="26">
        <f t="shared" si="47"/>
        <v>148.61443722203217</v>
      </c>
      <c r="J40" s="6" t="s">
        <v>12</v>
      </c>
      <c r="K40" s="26">
        <f t="shared" ref="K40:Q40" si="48">K39/K38*100</f>
        <v>78.571428571428569</v>
      </c>
      <c r="L40" s="26">
        <f t="shared" si="48"/>
        <v>113.41866226259289</v>
      </c>
      <c r="M40" s="26">
        <f t="shared" si="48"/>
        <v>98.874223602484463</v>
      </c>
      <c r="N40" s="26">
        <f t="shared" si="48"/>
        <v>166.37931034482759</v>
      </c>
      <c r="O40" s="26">
        <f t="shared" si="48"/>
        <v>60.209424083769633</v>
      </c>
      <c r="P40" s="26">
        <f t="shared" si="48"/>
        <v>3.9080459770114944</v>
      </c>
      <c r="Q40" s="26">
        <f t="shared" si="48"/>
        <v>125.34381139489194</v>
      </c>
      <c r="R40" s="6" t="s">
        <v>12</v>
      </c>
      <c r="S40" s="26">
        <f t="shared" ref="S40:Y40" si="49">S39/S38*100</f>
        <v>87.060702875399357</v>
      </c>
      <c r="T40" s="26">
        <f t="shared" si="49"/>
        <v>113.42668863261945</v>
      </c>
      <c r="U40" s="26">
        <f t="shared" si="49"/>
        <v>122.22222222222223</v>
      </c>
      <c r="V40" s="26">
        <f t="shared" si="49"/>
        <v>16.470588235294116</v>
      </c>
      <c r="W40" s="26">
        <f t="shared" si="49"/>
        <v>32.638888888888893</v>
      </c>
      <c r="X40" s="26">
        <f t="shared" si="49"/>
        <v>22.058823529411764</v>
      </c>
      <c r="Y40" s="26">
        <f t="shared" si="49"/>
        <v>164.89971346704871</v>
      </c>
      <c r="Z40" s="113"/>
      <c r="AA40" s="6" t="s">
        <v>12</v>
      </c>
      <c r="AB40" s="26">
        <f>AB39/AB38*100</f>
        <v>156.81818181818181</v>
      </c>
      <c r="AC40" s="26">
        <f>AC39/AC38*100</f>
        <v>142.82982791586997</v>
      </c>
      <c r="AD40" s="26">
        <f>AD39/AD38*100</f>
        <v>133.52941176470588</v>
      </c>
      <c r="AE40" s="26">
        <f>AE39/AE38*100</f>
        <v>0</v>
      </c>
      <c r="AF40" s="26">
        <f>AF39/AF38*100</f>
        <v>0</v>
      </c>
      <c r="AG40" s="26">
        <v>15</v>
      </c>
      <c r="AH40" s="26">
        <f>AH39/AH38*100</f>
        <v>206.36363636363635</v>
      </c>
      <c r="AI40" s="113"/>
      <c r="AJ40" s="6" t="s">
        <v>12</v>
      </c>
      <c r="AK40" s="26" t="e">
        <f>AK39/AK38*100</f>
        <v>#DIV/0!</v>
      </c>
      <c r="AL40" s="26" t="e">
        <f>AL39/AL38*100</f>
        <v>#DIV/0!</v>
      </c>
      <c r="AM40" s="26" t="e">
        <f>AM39/AM38*100</f>
        <v>#DIV/0!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 t="e">
        <f>AQ39/AQ38*100</f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50">K9+S9+AK9</f>
        <v>625.5</v>
      </c>
      <c r="C46" s="83">
        <f t="shared" si="50"/>
        <v>28968</v>
      </c>
      <c r="D46" s="83">
        <f t="shared" si="50"/>
        <v>24647</v>
      </c>
      <c r="E46" s="83">
        <f t="shared" si="50"/>
        <v>3729</v>
      </c>
      <c r="F46" s="83">
        <f t="shared" si="50"/>
        <v>5359</v>
      </c>
      <c r="G46" s="83">
        <f t="shared" si="50"/>
        <v>1561</v>
      </c>
      <c r="H46" s="83">
        <f t="shared" si="50"/>
        <v>13998</v>
      </c>
    </row>
    <row r="47" spans="1:43">
      <c r="A47" s="84" t="s">
        <v>50</v>
      </c>
      <c r="B47" s="83">
        <f t="shared" si="50"/>
        <v>573.29999999999995</v>
      </c>
      <c r="C47" s="83">
        <f t="shared" si="50"/>
        <v>28591</v>
      </c>
      <c r="D47" s="83">
        <f t="shared" si="50"/>
        <v>25331</v>
      </c>
      <c r="E47" s="83">
        <f t="shared" si="50"/>
        <v>3239</v>
      </c>
      <c r="F47" s="83">
        <f t="shared" si="50"/>
        <v>2281</v>
      </c>
      <c r="G47" s="83">
        <f t="shared" si="50"/>
        <v>297</v>
      </c>
      <c r="H47" s="83">
        <f t="shared" si="50"/>
        <v>19514</v>
      </c>
    </row>
    <row r="48" spans="1:43">
      <c r="A48" s="85" t="s">
        <v>44</v>
      </c>
      <c r="B48" s="86">
        <f>B47/B46*100</f>
        <v>91.654676258992794</v>
      </c>
      <c r="C48" s="86">
        <f t="shared" ref="C48:H48" si="51">C47/C46*100</f>
        <v>98.698563932615301</v>
      </c>
      <c r="D48" s="86">
        <f t="shared" si="51"/>
        <v>102.77518562096807</v>
      </c>
      <c r="E48" s="86">
        <f t="shared" si="51"/>
        <v>86.859747921694833</v>
      </c>
      <c r="F48" s="86">
        <f t="shared" si="51"/>
        <v>42.563911177458479</v>
      </c>
      <c r="G48" s="86">
        <f t="shared" si="51"/>
        <v>19.026265214606024</v>
      </c>
      <c r="H48" s="86">
        <f t="shared" si="51"/>
        <v>139.4056293756251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2">K13+S13+AK13</f>
        <v>113.19999999999999</v>
      </c>
      <c r="C50" s="90">
        <f t="shared" si="52"/>
        <v>5472</v>
      </c>
      <c r="D50" s="90">
        <f t="shared" si="52"/>
        <v>4156</v>
      </c>
      <c r="E50" s="90">
        <f t="shared" si="52"/>
        <v>760</v>
      </c>
      <c r="F50" s="90">
        <f t="shared" si="52"/>
        <v>1667</v>
      </c>
      <c r="G50" s="90">
        <f t="shared" si="52"/>
        <v>232</v>
      </c>
      <c r="H50" s="90">
        <f t="shared" si="52"/>
        <v>1497</v>
      </c>
    </row>
    <row r="51" spans="1:8">
      <c r="A51" s="75" t="s">
        <v>50</v>
      </c>
      <c r="B51" s="90">
        <f t="shared" si="52"/>
        <v>211.4</v>
      </c>
      <c r="C51" s="90">
        <f t="shared" si="52"/>
        <v>11555</v>
      </c>
      <c r="D51" s="90">
        <f t="shared" si="52"/>
        <v>9880</v>
      </c>
      <c r="E51" s="90">
        <f t="shared" si="52"/>
        <v>1558</v>
      </c>
      <c r="F51" s="90">
        <f t="shared" si="52"/>
        <v>1313</v>
      </c>
      <c r="G51" s="90">
        <f t="shared" si="52"/>
        <v>78</v>
      </c>
      <c r="H51" s="90">
        <f t="shared" si="52"/>
        <v>6931</v>
      </c>
    </row>
    <row r="52" spans="1:8">
      <c r="A52" s="75" t="s">
        <v>44</v>
      </c>
      <c r="B52" s="91">
        <f t="shared" ref="B52:H52" si="53">B51/B50*100</f>
        <v>186.74911660777386</v>
      </c>
      <c r="C52" s="91">
        <f t="shared" si="53"/>
        <v>211.16593567251462</v>
      </c>
      <c r="D52" s="91">
        <f t="shared" si="53"/>
        <v>237.72858517805582</v>
      </c>
      <c r="E52" s="91">
        <f t="shared" si="53"/>
        <v>204.99999999999997</v>
      </c>
      <c r="F52" s="91">
        <f t="shared" si="53"/>
        <v>78.764247150569886</v>
      </c>
      <c r="G52" s="91">
        <f t="shared" si="53"/>
        <v>33.620689655172413</v>
      </c>
      <c r="H52" s="91">
        <f t="shared" si="53"/>
        <v>462.99265197060782</v>
      </c>
    </row>
    <row r="53" spans="1:8">
      <c r="A53" s="75" t="s">
        <v>13</v>
      </c>
      <c r="B53" s="90">
        <f t="shared" ref="B53:H55" si="54">K16+S16+AK16</f>
        <v>71.900000000000006</v>
      </c>
      <c r="C53" s="90">
        <f t="shared" si="54"/>
        <v>4022</v>
      </c>
      <c r="D53" s="90">
        <f t="shared" si="54"/>
        <v>5021</v>
      </c>
      <c r="E53" s="90">
        <f t="shared" si="54"/>
        <v>1296</v>
      </c>
      <c r="F53" s="90">
        <f t="shared" si="54"/>
        <v>2059</v>
      </c>
      <c r="G53" s="90">
        <f t="shared" si="54"/>
        <v>57</v>
      </c>
      <c r="H53" s="90">
        <f t="shared" si="54"/>
        <v>1609</v>
      </c>
    </row>
    <row r="54" spans="1:8">
      <c r="A54" s="92" t="s">
        <v>14</v>
      </c>
      <c r="B54" s="90">
        <f t="shared" si="54"/>
        <v>1</v>
      </c>
      <c r="C54" s="90">
        <f t="shared" si="54"/>
        <v>60</v>
      </c>
      <c r="D54" s="90">
        <f t="shared" si="54"/>
        <v>59</v>
      </c>
      <c r="E54" s="90">
        <f t="shared" si="54"/>
        <v>10</v>
      </c>
      <c r="F54" s="90">
        <f t="shared" si="54"/>
        <v>22</v>
      </c>
      <c r="G54" s="90">
        <f t="shared" si="54"/>
        <v>4</v>
      </c>
      <c r="H54" s="90">
        <f t="shared" si="54"/>
        <v>23</v>
      </c>
    </row>
    <row r="55" spans="1:8">
      <c r="A55" s="75" t="s">
        <v>15</v>
      </c>
      <c r="B55" s="90">
        <f t="shared" si="54"/>
        <v>2</v>
      </c>
      <c r="C55" s="90">
        <f t="shared" si="54"/>
        <v>100</v>
      </c>
      <c r="D55" s="90">
        <f t="shared" si="54"/>
        <v>92</v>
      </c>
      <c r="E55" s="90">
        <f t="shared" si="54"/>
        <v>19</v>
      </c>
      <c r="F55" s="90">
        <f t="shared" si="54"/>
        <v>38</v>
      </c>
      <c r="G55" s="90">
        <f t="shared" si="54"/>
        <v>10</v>
      </c>
      <c r="H55" s="90">
        <f t="shared" si="54"/>
        <v>25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5">K20+S20+AK20</f>
        <v>512.29999999999995</v>
      </c>
      <c r="C57" s="90">
        <f t="shared" si="55"/>
        <v>23496</v>
      </c>
      <c r="D57" s="90">
        <f t="shared" si="55"/>
        <v>20491</v>
      </c>
      <c r="E57" s="90">
        <f t="shared" si="55"/>
        <v>2969</v>
      </c>
      <c r="F57" s="90">
        <f t="shared" si="55"/>
        <v>3692</v>
      </c>
      <c r="G57" s="90">
        <f t="shared" si="55"/>
        <v>1329</v>
      </c>
      <c r="H57" s="90">
        <f t="shared" si="55"/>
        <v>12501</v>
      </c>
    </row>
    <row r="58" spans="1:8">
      <c r="A58" s="92" t="s">
        <v>50</v>
      </c>
      <c r="B58" s="90">
        <f t="shared" si="55"/>
        <v>361.9</v>
      </c>
      <c r="C58" s="90">
        <f t="shared" si="55"/>
        <v>17036</v>
      </c>
      <c r="D58" s="90">
        <f t="shared" si="55"/>
        <v>15451</v>
      </c>
      <c r="E58" s="90">
        <f t="shared" si="55"/>
        <v>1681</v>
      </c>
      <c r="F58" s="90">
        <f t="shared" si="55"/>
        <v>968</v>
      </c>
      <c r="G58" s="90">
        <f t="shared" si="55"/>
        <v>219</v>
      </c>
      <c r="H58" s="90">
        <f t="shared" si="55"/>
        <v>12583</v>
      </c>
    </row>
    <row r="59" spans="1:8">
      <c r="A59" s="75" t="s">
        <v>44</v>
      </c>
      <c r="B59" s="91">
        <f t="shared" ref="B59:H59" si="56">B58/B57*100</f>
        <v>70.642201834862391</v>
      </c>
      <c r="C59" s="91">
        <f t="shared" si="56"/>
        <v>72.505958461014643</v>
      </c>
      <c r="D59" s="91">
        <f t="shared" si="56"/>
        <v>75.403835830364557</v>
      </c>
      <c r="E59" s="91">
        <f t="shared" si="56"/>
        <v>56.618390030313236</v>
      </c>
      <c r="F59" s="91">
        <f t="shared" si="56"/>
        <v>26.218851570964247</v>
      </c>
      <c r="G59" s="91">
        <f t="shared" si="56"/>
        <v>16.478555304740404</v>
      </c>
      <c r="H59" s="91">
        <f t="shared" si="56"/>
        <v>100.65594752419807</v>
      </c>
    </row>
    <row r="60" spans="1:8">
      <c r="A60" s="75" t="s">
        <v>21</v>
      </c>
      <c r="B60" s="90">
        <f t="shared" ref="B60:H61" si="57">K23+S23+AK23</f>
        <v>113.3</v>
      </c>
      <c r="C60" s="90">
        <f t="shared" si="57"/>
        <v>7544</v>
      </c>
      <c r="D60" s="90">
        <f t="shared" si="57"/>
        <v>6401</v>
      </c>
      <c r="E60" s="90">
        <f t="shared" si="57"/>
        <v>1857</v>
      </c>
      <c r="F60" s="90">
        <f t="shared" si="57"/>
        <v>600</v>
      </c>
      <c r="G60" s="90">
        <f t="shared" si="57"/>
        <v>173</v>
      </c>
      <c r="H60" s="90">
        <f t="shared" si="57"/>
        <v>3771</v>
      </c>
    </row>
    <row r="61" spans="1:8">
      <c r="A61" s="75" t="s">
        <v>51</v>
      </c>
      <c r="B61" s="90">
        <f t="shared" si="57"/>
        <v>49.9</v>
      </c>
      <c r="C61" s="90">
        <f t="shared" si="57"/>
        <v>3502</v>
      </c>
      <c r="D61" s="90">
        <f t="shared" si="57"/>
        <v>3208</v>
      </c>
      <c r="E61" s="90">
        <f t="shared" si="57"/>
        <v>913</v>
      </c>
      <c r="F61" s="90">
        <f t="shared" si="57"/>
        <v>122</v>
      </c>
      <c r="G61" s="90">
        <f t="shared" si="57"/>
        <v>85</v>
      </c>
      <c r="H61" s="90">
        <f t="shared" si="57"/>
        <v>2088</v>
      </c>
    </row>
    <row r="62" spans="1:8">
      <c r="A62" s="75" t="s">
        <v>12</v>
      </c>
      <c r="B62" s="91">
        <f t="shared" ref="B62:H62" si="58">B61/B60*100</f>
        <v>44.042365401588704</v>
      </c>
      <c r="C62" s="91">
        <f t="shared" si="58"/>
        <v>46.420996818663838</v>
      </c>
      <c r="D62" s="91">
        <f t="shared" si="58"/>
        <v>50.117169192313703</v>
      </c>
      <c r="E62" s="91">
        <f t="shared" si="58"/>
        <v>49.16532040926225</v>
      </c>
      <c r="F62" s="91">
        <f t="shared" si="58"/>
        <v>20.333333333333332</v>
      </c>
      <c r="G62" s="91">
        <f t="shared" si="58"/>
        <v>49.132947976878611</v>
      </c>
      <c r="H62" s="91">
        <f t="shared" si="58"/>
        <v>55.369928400954649</v>
      </c>
    </row>
    <row r="63" spans="1:8">
      <c r="A63" s="75" t="s">
        <v>23</v>
      </c>
      <c r="B63" s="90">
        <f t="shared" ref="B63:H64" si="59">K26+S26+AK26</f>
        <v>62.800000000000004</v>
      </c>
      <c r="C63" s="90">
        <f t="shared" si="59"/>
        <v>2757</v>
      </c>
      <c r="D63" s="90">
        <f t="shared" si="59"/>
        <v>2071</v>
      </c>
      <c r="E63" s="90">
        <f t="shared" si="59"/>
        <v>267</v>
      </c>
      <c r="F63" s="90">
        <f t="shared" si="59"/>
        <v>551</v>
      </c>
      <c r="G63" s="90">
        <f t="shared" si="59"/>
        <v>108</v>
      </c>
      <c r="H63" s="90">
        <f t="shared" si="59"/>
        <v>1145</v>
      </c>
    </row>
    <row r="64" spans="1:8">
      <c r="A64" s="75" t="s">
        <v>45</v>
      </c>
      <c r="B64" s="90">
        <f t="shared" si="59"/>
        <v>77.7</v>
      </c>
      <c r="C64" s="90">
        <f t="shared" si="59"/>
        <v>2536</v>
      </c>
      <c r="D64" s="90">
        <f t="shared" si="59"/>
        <v>2328</v>
      </c>
      <c r="E64" s="90">
        <f t="shared" si="59"/>
        <v>256</v>
      </c>
      <c r="F64" s="90">
        <f t="shared" si="59"/>
        <v>374</v>
      </c>
      <c r="G64" s="90">
        <f t="shared" si="59"/>
        <v>78</v>
      </c>
      <c r="H64" s="90">
        <f t="shared" si="59"/>
        <v>1620</v>
      </c>
    </row>
    <row r="65" spans="1:8">
      <c r="A65" s="75" t="s">
        <v>12</v>
      </c>
      <c r="B65" s="91">
        <f t="shared" ref="B65:H65" si="60">B64/B63*100</f>
        <v>123.72611464968153</v>
      </c>
      <c r="C65" s="91">
        <f t="shared" si="60"/>
        <v>91.98404062386652</v>
      </c>
      <c r="D65" s="91">
        <f t="shared" si="60"/>
        <v>112.40946402704009</v>
      </c>
      <c r="E65" s="91">
        <f t="shared" si="60"/>
        <v>95.880149812734089</v>
      </c>
      <c r="F65" s="91">
        <f t="shared" si="60"/>
        <v>67.876588021778588</v>
      </c>
      <c r="G65" s="91">
        <f t="shared" si="60"/>
        <v>72.222222222222214</v>
      </c>
      <c r="H65" s="91">
        <f t="shared" si="60"/>
        <v>141.48471615720524</v>
      </c>
    </row>
    <row r="66" spans="1:8">
      <c r="A66" s="75" t="s">
        <v>25</v>
      </c>
      <c r="B66" s="90">
        <f t="shared" ref="B66:H67" si="61">K29+S29+AK29</f>
        <v>66.7</v>
      </c>
      <c r="C66" s="90">
        <f t="shared" si="61"/>
        <v>2576</v>
      </c>
      <c r="D66" s="90">
        <f t="shared" si="61"/>
        <v>2302</v>
      </c>
      <c r="E66" s="90">
        <f t="shared" si="61"/>
        <v>198</v>
      </c>
      <c r="F66" s="90">
        <f t="shared" si="61"/>
        <v>502</v>
      </c>
      <c r="G66" s="90">
        <f t="shared" si="61"/>
        <v>164</v>
      </c>
      <c r="H66" s="90">
        <f t="shared" si="61"/>
        <v>1438</v>
      </c>
    </row>
    <row r="67" spans="1:8">
      <c r="A67" s="75" t="s">
        <v>46</v>
      </c>
      <c r="B67" s="90">
        <f t="shared" si="61"/>
        <v>53.4</v>
      </c>
      <c r="C67" s="90">
        <f t="shared" si="61"/>
        <v>2329</v>
      </c>
      <c r="D67" s="90">
        <f t="shared" si="61"/>
        <v>2025</v>
      </c>
      <c r="E67" s="90">
        <f t="shared" si="61"/>
        <v>76</v>
      </c>
      <c r="F67" s="90">
        <f t="shared" si="61"/>
        <v>122</v>
      </c>
      <c r="G67" s="90">
        <f t="shared" si="61"/>
        <v>16</v>
      </c>
      <c r="H67" s="90">
        <f t="shared" si="61"/>
        <v>1811</v>
      </c>
    </row>
    <row r="68" spans="1:8">
      <c r="A68" s="75" t="s">
        <v>12</v>
      </c>
      <c r="B68" s="91">
        <f t="shared" ref="B68:H68" si="62">B67/B66*100</f>
        <v>80.059970014992501</v>
      </c>
      <c r="C68" s="91">
        <f t="shared" si="62"/>
        <v>90.411490683229815</v>
      </c>
      <c r="D68" s="91">
        <f t="shared" si="62"/>
        <v>87.96698523023457</v>
      </c>
      <c r="E68" s="91">
        <f t="shared" si="62"/>
        <v>38.383838383838381</v>
      </c>
      <c r="F68" s="91">
        <f t="shared" si="62"/>
        <v>24.302788844621514</v>
      </c>
      <c r="G68" s="91">
        <f t="shared" si="62"/>
        <v>9.7560975609756095</v>
      </c>
      <c r="H68" s="91">
        <f t="shared" si="62"/>
        <v>125.93880389429764</v>
      </c>
    </row>
    <row r="69" spans="1:8">
      <c r="A69" s="75" t="s">
        <v>27</v>
      </c>
      <c r="B69" s="90">
        <f t="shared" ref="B69:H70" si="63">K32+S32+AK32</f>
        <v>3.5</v>
      </c>
      <c r="C69" s="90">
        <f t="shared" si="63"/>
        <v>321</v>
      </c>
      <c r="D69" s="90">
        <f t="shared" si="63"/>
        <v>288</v>
      </c>
      <c r="E69" s="90">
        <f t="shared" si="63"/>
        <v>160</v>
      </c>
      <c r="F69" s="90">
        <f t="shared" si="63"/>
        <v>65</v>
      </c>
      <c r="G69" s="90">
        <f t="shared" si="63"/>
        <v>0</v>
      </c>
      <c r="H69" s="90">
        <f t="shared" si="63"/>
        <v>63</v>
      </c>
    </row>
    <row r="70" spans="1:8">
      <c r="A70" s="75" t="s">
        <v>47</v>
      </c>
      <c r="B70" s="90">
        <f t="shared" si="63"/>
        <v>1</v>
      </c>
      <c r="C70" s="90">
        <f t="shared" si="63"/>
        <v>21</v>
      </c>
      <c r="D70" s="90">
        <f t="shared" si="63"/>
        <v>20</v>
      </c>
      <c r="E70" s="90">
        <f t="shared" si="63"/>
        <v>5</v>
      </c>
      <c r="F70" s="90">
        <f t="shared" si="63"/>
        <v>0</v>
      </c>
      <c r="G70" s="90">
        <f t="shared" si="63"/>
        <v>1</v>
      </c>
      <c r="H70" s="90">
        <f t="shared" si="63"/>
        <v>14</v>
      </c>
    </row>
    <row r="71" spans="1:8">
      <c r="A71" s="75" t="s">
        <v>12</v>
      </c>
      <c r="B71" s="91">
        <f t="shared" ref="B71:H71" si="64">B70/B69*100</f>
        <v>28.571428571428569</v>
      </c>
      <c r="C71" s="91">
        <f t="shared" si="64"/>
        <v>6.5420560747663545</v>
      </c>
      <c r="D71" s="91">
        <f t="shared" si="64"/>
        <v>6.9444444444444446</v>
      </c>
      <c r="E71" s="91">
        <f t="shared" si="64"/>
        <v>3.125</v>
      </c>
      <c r="F71" s="91">
        <f t="shared" si="64"/>
        <v>0</v>
      </c>
      <c r="G71" s="91" t="e">
        <f t="shared" si="64"/>
        <v>#DIV/0!</v>
      </c>
      <c r="H71" s="91">
        <f t="shared" si="64"/>
        <v>22.222222222222221</v>
      </c>
    </row>
    <row r="72" spans="1:8">
      <c r="A72" s="75" t="s">
        <v>29</v>
      </c>
      <c r="B72" s="90">
        <f t="shared" ref="B72:H73" si="65">K35+S35+AK35</f>
        <v>129.19999999999999</v>
      </c>
      <c r="C72" s="90">
        <f t="shared" si="65"/>
        <v>5448</v>
      </c>
      <c r="D72" s="90">
        <f t="shared" si="65"/>
        <v>4846</v>
      </c>
      <c r="E72" s="90">
        <f t="shared" si="65"/>
        <v>0</v>
      </c>
      <c r="F72" s="90">
        <f t="shared" si="65"/>
        <v>1304</v>
      </c>
      <c r="G72" s="90">
        <f t="shared" si="65"/>
        <v>381</v>
      </c>
      <c r="H72" s="90">
        <f t="shared" si="65"/>
        <v>3161</v>
      </c>
    </row>
    <row r="73" spans="1:8">
      <c r="A73" s="75" t="s">
        <v>48</v>
      </c>
      <c r="B73" s="90">
        <f t="shared" si="65"/>
        <v>64.099999999999994</v>
      </c>
      <c r="C73" s="90">
        <f t="shared" si="65"/>
        <v>3004</v>
      </c>
      <c r="D73" s="90">
        <f t="shared" si="65"/>
        <v>2742</v>
      </c>
      <c r="E73" s="90">
        <f t="shared" si="65"/>
        <v>3</v>
      </c>
      <c r="F73" s="90">
        <f t="shared" si="65"/>
        <v>26</v>
      </c>
      <c r="G73" s="90">
        <f t="shared" si="65"/>
        <v>7</v>
      </c>
      <c r="H73" s="90">
        <f t="shared" si="65"/>
        <v>2706</v>
      </c>
    </row>
    <row r="74" spans="1:8">
      <c r="A74" s="75" t="s">
        <v>12</v>
      </c>
      <c r="B74" s="91">
        <f t="shared" ref="B74:H74" si="66">B73/B72*100</f>
        <v>49.61300309597523</v>
      </c>
      <c r="C74" s="91">
        <f t="shared" si="66"/>
        <v>55.139500734214387</v>
      </c>
      <c r="D74" s="91">
        <f t="shared" si="66"/>
        <v>56.582748658687578</v>
      </c>
      <c r="E74" s="91" t="e">
        <f t="shared" si="66"/>
        <v>#DIV/0!</v>
      </c>
      <c r="F74" s="91">
        <f t="shared" si="66"/>
        <v>1.9938650306748467</v>
      </c>
      <c r="G74" s="91">
        <f t="shared" si="66"/>
        <v>1.837270341207349</v>
      </c>
      <c r="H74" s="91">
        <f t="shared" si="66"/>
        <v>85.605820942739641</v>
      </c>
    </row>
    <row r="75" spans="1:8">
      <c r="A75" s="75" t="s">
        <v>31</v>
      </c>
      <c r="B75" s="90">
        <f t="shared" ref="B75:H76" si="67">K38+S38+AK38</f>
        <v>136.80000000000001</v>
      </c>
      <c r="C75" s="90">
        <f t="shared" si="67"/>
        <v>4850</v>
      </c>
      <c r="D75" s="90">
        <f t="shared" si="67"/>
        <v>4583</v>
      </c>
      <c r="E75" s="90">
        <f t="shared" si="67"/>
        <v>487</v>
      </c>
      <c r="F75" s="90">
        <f t="shared" si="67"/>
        <v>670</v>
      </c>
      <c r="G75" s="90">
        <f t="shared" si="67"/>
        <v>503</v>
      </c>
      <c r="H75" s="90">
        <f t="shared" si="67"/>
        <v>2923</v>
      </c>
    </row>
    <row r="76" spans="1:8">
      <c r="A76" s="75" t="s">
        <v>52</v>
      </c>
      <c r="B76" s="90">
        <f t="shared" si="67"/>
        <v>115.8</v>
      </c>
      <c r="C76" s="90">
        <f t="shared" si="67"/>
        <v>5644</v>
      </c>
      <c r="D76" s="90">
        <f t="shared" si="67"/>
        <v>5128</v>
      </c>
      <c r="E76" s="90">
        <f t="shared" si="67"/>
        <v>428</v>
      </c>
      <c r="F76" s="90">
        <f t="shared" si="67"/>
        <v>324</v>
      </c>
      <c r="G76" s="90">
        <f t="shared" si="67"/>
        <v>32</v>
      </c>
      <c r="H76" s="90">
        <f t="shared" si="67"/>
        <v>4344</v>
      </c>
    </row>
    <row r="77" spans="1:8">
      <c r="A77" s="75" t="s">
        <v>12</v>
      </c>
      <c r="B77" s="91">
        <f t="shared" ref="B77:H77" si="68">B76/B75*100</f>
        <v>84.649122807017534</v>
      </c>
      <c r="C77" s="91">
        <f t="shared" si="68"/>
        <v>116.37113402061856</v>
      </c>
      <c r="D77" s="91">
        <f t="shared" si="68"/>
        <v>111.89177394719616</v>
      </c>
      <c r="E77" s="91">
        <f t="shared" si="68"/>
        <v>87.885010266940455</v>
      </c>
      <c r="F77" s="91">
        <f t="shared" si="68"/>
        <v>48.35820895522388</v>
      </c>
      <c r="G77" s="91">
        <f t="shared" si="68"/>
        <v>6.3618290258449299</v>
      </c>
      <c r="H77" s="91">
        <f t="shared" si="68"/>
        <v>148.61443722203217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69">B9-B46</f>
        <v>0</v>
      </c>
      <c r="C83" s="83">
        <f t="shared" si="69"/>
        <v>0</v>
      </c>
      <c r="D83" s="83">
        <f t="shared" si="69"/>
        <v>0</v>
      </c>
      <c r="E83" s="83">
        <f t="shared" si="69"/>
        <v>0</v>
      </c>
      <c r="F83" s="83">
        <f t="shared" si="69"/>
        <v>0</v>
      </c>
      <c r="G83" s="83">
        <f t="shared" si="69"/>
        <v>0</v>
      </c>
      <c r="H83" s="83">
        <f t="shared" si="69"/>
        <v>0</v>
      </c>
    </row>
    <row r="84" spans="1:8">
      <c r="A84" s="84" t="s">
        <v>50</v>
      </c>
      <c r="B84" s="83">
        <f t="shared" si="69"/>
        <v>0</v>
      </c>
      <c r="C84" s="83">
        <f t="shared" si="69"/>
        <v>0</v>
      </c>
      <c r="D84" s="83">
        <f t="shared" si="69"/>
        <v>0</v>
      </c>
      <c r="E84" s="83">
        <f t="shared" si="69"/>
        <v>0</v>
      </c>
      <c r="F84" s="83">
        <f t="shared" si="69"/>
        <v>0</v>
      </c>
      <c r="G84" s="83">
        <f t="shared" si="69"/>
        <v>0</v>
      </c>
      <c r="H84" s="83">
        <f t="shared" si="69"/>
        <v>0</v>
      </c>
    </row>
    <row r="85" spans="1:8">
      <c r="A85" s="85" t="s">
        <v>44</v>
      </c>
      <c r="B85" s="83">
        <f t="shared" si="69"/>
        <v>0</v>
      </c>
      <c r="C85" s="83">
        <f t="shared" si="69"/>
        <v>0</v>
      </c>
      <c r="D85" s="83">
        <f t="shared" si="69"/>
        <v>0</v>
      </c>
      <c r="E85" s="83">
        <f t="shared" si="69"/>
        <v>0</v>
      </c>
      <c r="F85" s="83">
        <f t="shared" si="69"/>
        <v>0</v>
      </c>
      <c r="G85" s="83">
        <f t="shared" si="69"/>
        <v>0</v>
      </c>
      <c r="H85" s="83">
        <f t="shared" si="69"/>
        <v>0</v>
      </c>
    </row>
    <row r="86" spans="1:8">
      <c r="A86" s="87" t="s">
        <v>11</v>
      </c>
      <c r="B86" s="83">
        <f t="shared" si="69"/>
        <v>0</v>
      </c>
      <c r="C86" s="83">
        <f t="shared" si="69"/>
        <v>0</v>
      </c>
      <c r="D86" s="83">
        <f t="shared" si="69"/>
        <v>0</v>
      </c>
      <c r="E86" s="83">
        <f t="shared" si="69"/>
        <v>0</v>
      </c>
      <c r="F86" s="83">
        <f t="shared" si="69"/>
        <v>0</v>
      </c>
      <c r="G86" s="83">
        <f t="shared" si="69"/>
        <v>0</v>
      </c>
      <c r="H86" s="83">
        <f t="shared" si="69"/>
        <v>0</v>
      </c>
    </row>
    <row r="87" spans="1:8">
      <c r="A87" s="75" t="s">
        <v>40</v>
      </c>
      <c r="B87" s="83">
        <f t="shared" si="69"/>
        <v>0</v>
      </c>
      <c r="C87" s="83">
        <f t="shared" si="69"/>
        <v>0</v>
      </c>
      <c r="D87" s="83">
        <f t="shared" si="69"/>
        <v>0</v>
      </c>
      <c r="E87" s="83">
        <f t="shared" si="69"/>
        <v>0</v>
      </c>
      <c r="F87" s="83">
        <f t="shared" si="69"/>
        <v>0</v>
      </c>
      <c r="G87" s="83">
        <f t="shared" si="69"/>
        <v>0</v>
      </c>
      <c r="H87" s="83">
        <f t="shared" si="69"/>
        <v>0</v>
      </c>
    </row>
    <row r="88" spans="1:8">
      <c r="A88" s="75" t="s">
        <v>50</v>
      </c>
      <c r="B88" s="83">
        <f t="shared" si="69"/>
        <v>0</v>
      </c>
      <c r="C88" s="83">
        <f t="shared" si="69"/>
        <v>0</v>
      </c>
      <c r="D88" s="83">
        <f t="shared" si="69"/>
        <v>0</v>
      </c>
      <c r="E88" s="83">
        <f t="shared" si="69"/>
        <v>0</v>
      </c>
      <c r="F88" s="83">
        <f t="shared" si="69"/>
        <v>0</v>
      </c>
      <c r="G88" s="83">
        <f t="shared" si="69"/>
        <v>0</v>
      </c>
      <c r="H88" s="83">
        <f t="shared" si="69"/>
        <v>0</v>
      </c>
    </row>
    <row r="89" spans="1:8">
      <c r="A89" s="75" t="s">
        <v>44</v>
      </c>
      <c r="B89" s="83">
        <f t="shared" si="69"/>
        <v>0</v>
      </c>
      <c r="C89" s="83">
        <f t="shared" si="69"/>
        <v>0</v>
      </c>
      <c r="D89" s="83">
        <f t="shared" si="69"/>
        <v>0</v>
      </c>
      <c r="E89" s="83">
        <f t="shared" si="69"/>
        <v>0</v>
      </c>
      <c r="F89" s="83">
        <f t="shared" si="69"/>
        <v>0</v>
      </c>
      <c r="G89" s="83">
        <f t="shared" si="69"/>
        <v>0</v>
      </c>
      <c r="H89" s="83">
        <f t="shared" si="69"/>
        <v>0</v>
      </c>
    </row>
    <row r="90" spans="1:8">
      <c r="A90" s="75" t="s">
        <v>13</v>
      </c>
      <c r="B90" s="83">
        <f t="shared" si="69"/>
        <v>0</v>
      </c>
      <c r="C90" s="83">
        <f t="shared" si="69"/>
        <v>0</v>
      </c>
      <c r="D90" s="83">
        <f t="shared" si="69"/>
        <v>0</v>
      </c>
      <c r="E90" s="83">
        <f t="shared" si="69"/>
        <v>0</v>
      </c>
      <c r="F90" s="83">
        <f t="shared" si="69"/>
        <v>0</v>
      </c>
      <c r="G90" s="83">
        <f t="shared" si="69"/>
        <v>0</v>
      </c>
      <c r="H90" s="83">
        <f t="shared" si="69"/>
        <v>0</v>
      </c>
    </row>
    <row r="91" spans="1:8">
      <c r="A91" s="92" t="s">
        <v>14</v>
      </c>
      <c r="B91" s="83">
        <f t="shared" si="69"/>
        <v>0</v>
      </c>
      <c r="C91" s="83">
        <f t="shared" si="69"/>
        <v>0</v>
      </c>
      <c r="D91" s="83">
        <f t="shared" si="69"/>
        <v>0</v>
      </c>
      <c r="E91" s="83">
        <f t="shared" si="69"/>
        <v>0</v>
      </c>
      <c r="F91" s="83">
        <f t="shared" si="69"/>
        <v>0</v>
      </c>
      <c r="G91" s="83">
        <f t="shared" si="69"/>
        <v>0</v>
      </c>
      <c r="H91" s="83">
        <f t="shared" si="69"/>
        <v>0</v>
      </c>
    </row>
    <row r="92" spans="1:8">
      <c r="A92" s="75" t="s">
        <v>15</v>
      </c>
      <c r="B92" s="83">
        <f t="shared" si="69"/>
        <v>0</v>
      </c>
      <c r="C92" s="83">
        <f t="shared" si="69"/>
        <v>0</v>
      </c>
      <c r="D92" s="83">
        <f t="shared" si="69"/>
        <v>0</v>
      </c>
      <c r="E92" s="83">
        <f t="shared" si="69"/>
        <v>0</v>
      </c>
      <c r="F92" s="83">
        <f t="shared" si="69"/>
        <v>0</v>
      </c>
      <c r="G92" s="83">
        <f t="shared" si="69"/>
        <v>0</v>
      </c>
      <c r="H92" s="83">
        <f t="shared" si="69"/>
        <v>0</v>
      </c>
    </row>
    <row r="93" spans="1:8">
      <c r="A93" s="87" t="s">
        <v>16</v>
      </c>
      <c r="B93" s="83">
        <f t="shared" si="69"/>
        <v>0</v>
      </c>
      <c r="C93" s="83">
        <f t="shared" si="69"/>
        <v>0</v>
      </c>
      <c r="D93" s="83">
        <f t="shared" si="69"/>
        <v>0</v>
      </c>
      <c r="E93" s="83">
        <f t="shared" si="69"/>
        <v>0</v>
      </c>
      <c r="F93" s="83">
        <f t="shared" si="69"/>
        <v>0</v>
      </c>
      <c r="G93" s="83">
        <f t="shared" si="69"/>
        <v>0</v>
      </c>
      <c r="H93" s="83">
        <f t="shared" si="69"/>
        <v>0</v>
      </c>
    </row>
    <row r="94" spans="1:8">
      <c r="A94" s="75" t="s">
        <v>40</v>
      </c>
      <c r="B94" s="83">
        <f t="shared" si="69"/>
        <v>0</v>
      </c>
      <c r="C94" s="83">
        <f t="shared" si="69"/>
        <v>0</v>
      </c>
      <c r="D94" s="83">
        <f t="shared" si="69"/>
        <v>0</v>
      </c>
      <c r="E94" s="83">
        <f t="shared" si="69"/>
        <v>0</v>
      </c>
      <c r="F94" s="83">
        <f t="shared" si="69"/>
        <v>0</v>
      </c>
      <c r="G94" s="83">
        <f t="shared" si="69"/>
        <v>0</v>
      </c>
      <c r="H94" s="83">
        <f t="shared" si="69"/>
        <v>0</v>
      </c>
    </row>
    <row r="95" spans="1:8">
      <c r="A95" s="92" t="s">
        <v>50</v>
      </c>
      <c r="B95" s="83">
        <f t="shared" si="69"/>
        <v>0</v>
      </c>
      <c r="C95" s="83">
        <f t="shared" si="69"/>
        <v>0</v>
      </c>
      <c r="D95" s="83">
        <f t="shared" si="69"/>
        <v>0</v>
      </c>
      <c r="E95" s="83">
        <f t="shared" si="69"/>
        <v>0</v>
      </c>
      <c r="F95" s="83">
        <f t="shared" si="69"/>
        <v>0</v>
      </c>
      <c r="G95" s="83">
        <f t="shared" si="69"/>
        <v>0</v>
      </c>
      <c r="H95" s="83">
        <f t="shared" si="69"/>
        <v>0</v>
      </c>
    </row>
    <row r="96" spans="1:8">
      <c r="A96" s="75" t="s">
        <v>44</v>
      </c>
      <c r="B96" s="83">
        <f t="shared" si="69"/>
        <v>0</v>
      </c>
      <c r="C96" s="83">
        <f t="shared" si="69"/>
        <v>0</v>
      </c>
      <c r="D96" s="83">
        <f t="shared" si="69"/>
        <v>0</v>
      </c>
      <c r="E96" s="83">
        <f t="shared" si="69"/>
        <v>0</v>
      </c>
      <c r="F96" s="83">
        <f t="shared" si="69"/>
        <v>0</v>
      </c>
      <c r="G96" s="83">
        <f t="shared" si="69"/>
        <v>0</v>
      </c>
      <c r="H96" s="83">
        <f t="shared" si="69"/>
        <v>0</v>
      </c>
    </row>
    <row r="97" spans="1:8">
      <c r="A97" s="75" t="s">
        <v>21</v>
      </c>
      <c r="B97" s="83">
        <f t="shared" si="69"/>
        <v>0</v>
      </c>
      <c r="C97" s="83">
        <f t="shared" si="69"/>
        <v>0</v>
      </c>
      <c r="D97" s="83">
        <f t="shared" si="69"/>
        <v>0</v>
      </c>
      <c r="E97" s="83">
        <f t="shared" si="69"/>
        <v>0</v>
      </c>
      <c r="F97" s="83">
        <f t="shared" si="69"/>
        <v>0</v>
      </c>
      <c r="G97" s="83">
        <f t="shared" si="69"/>
        <v>0</v>
      </c>
      <c r="H97" s="83">
        <f t="shared" si="69"/>
        <v>0</v>
      </c>
    </row>
    <row r="98" spans="1:8">
      <c r="A98" s="75" t="s">
        <v>51</v>
      </c>
      <c r="B98" s="83">
        <f t="shared" si="69"/>
        <v>0</v>
      </c>
      <c r="C98" s="83">
        <f t="shared" si="69"/>
        <v>0</v>
      </c>
      <c r="D98" s="83">
        <f t="shared" si="69"/>
        <v>0</v>
      </c>
      <c r="E98" s="83">
        <f t="shared" si="69"/>
        <v>0</v>
      </c>
      <c r="F98" s="83">
        <f t="shared" si="69"/>
        <v>0</v>
      </c>
      <c r="G98" s="83">
        <f t="shared" si="69"/>
        <v>0</v>
      </c>
      <c r="H98" s="83">
        <f t="shared" si="69"/>
        <v>0</v>
      </c>
    </row>
    <row r="99" spans="1:8">
      <c r="A99" s="75" t="s">
        <v>12</v>
      </c>
      <c r="B99" s="83">
        <f t="shared" ref="B99:H114" si="70">B25-B62</f>
        <v>0</v>
      </c>
      <c r="C99" s="83">
        <f t="shared" si="70"/>
        <v>0</v>
      </c>
      <c r="D99" s="83">
        <f t="shared" si="70"/>
        <v>0</v>
      </c>
      <c r="E99" s="83">
        <f t="shared" si="70"/>
        <v>0</v>
      </c>
      <c r="F99" s="83">
        <f t="shared" si="70"/>
        <v>0</v>
      </c>
      <c r="G99" s="83">
        <f t="shared" si="70"/>
        <v>0</v>
      </c>
      <c r="H99" s="83">
        <f t="shared" si="70"/>
        <v>0</v>
      </c>
    </row>
    <row r="100" spans="1:8">
      <c r="A100" s="75" t="s">
        <v>23</v>
      </c>
      <c r="B100" s="83">
        <f t="shared" si="70"/>
        <v>0</v>
      </c>
      <c r="C100" s="83">
        <f t="shared" si="70"/>
        <v>0</v>
      </c>
      <c r="D100" s="83">
        <f t="shared" si="70"/>
        <v>0</v>
      </c>
      <c r="E100" s="83">
        <f t="shared" si="70"/>
        <v>0</v>
      </c>
      <c r="F100" s="83">
        <f t="shared" si="70"/>
        <v>0</v>
      </c>
      <c r="G100" s="83">
        <f t="shared" si="70"/>
        <v>0</v>
      </c>
      <c r="H100" s="83">
        <f t="shared" si="70"/>
        <v>0</v>
      </c>
    </row>
    <row r="101" spans="1:8">
      <c r="A101" s="75" t="s">
        <v>45</v>
      </c>
      <c r="B101" s="83">
        <f t="shared" si="70"/>
        <v>0</v>
      </c>
      <c r="C101" s="83">
        <f t="shared" si="70"/>
        <v>0</v>
      </c>
      <c r="D101" s="83">
        <f t="shared" si="70"/>
        <v>0</v>
      </c>
      <c r="E101" s="83">
        <f t="shared" si="70"/>
        <v>0</v>
      </c>
      <c r="F101" s="83">
        <f t="shared" si="70"/>
        <v>0</v>
      </c>
      <c r="G101" s="83">
        <f t="shared" si="70"/>
        <v>0</v>
      </c>
      <c r="H101" s="83">
        <f t="shared" si="70"/>
        <v>0</v>
      </c>
    </row>
    <row r="102" spans="1:8">
      <c r="A102" s="75" t="s">
        <v>12</v>
      </c>
      <c r="B102" s="83">
        <f t="shared" si="70"/>
        <v>0</v>
      </c>
      <c r="C102" s="83">
        <f t="shared" si="70"/>
        <v>0</v>
      </c>
      <c r="D102" s="83">
        <f t="shared" si="70"/>
        <v>0</v>
      </c>
      <c r="E102" s="83">
        <f t="shared" si="70"/>
        <v>0</v>
      </c>
      <c r="F102" s="83">
        <f t="shared" si="70"/>
        <v>0</v>
      </c>
      <c r="G102" s="83">
        <f t="shared" si="70"/>
        <v>0</v>
      </c>
      <c r="H102" s="83">
        <f t="shared" si="70"/>
        <v>0</v>
      </c>
    </row>
    <row r="103" spans="1:8">
      <c r="A103" s="75" t="s">
        <v>25</v>
      </c>
      <c r="B103" s="83">
        <f t="shared" si="70"/>
        <v>0</v>
      </c>
      <c r="C103" s="83">
        <f t="shared" si="70"/>
        <v>0</v>
      </c>
      <c r="D103" s="83">
        <f t="shared" si="70"/>
        <v>0</v>
      </c>
      <c r="E103" s="83">
        <f t="shared" si="70"/>
        <v>0</v>
      </c>
      <c r="F103" s="83">
        <f t="shared" si="70"/>
        <v>0</v>
      </c>
      <c r="G103" s="83">
        <f t="shared" si="70"/>
        <v>0</v>
      </c>
      <c r="H103" s="83">
        <f t="shared" si="70"/>
        <v>0</v>
      </c>
    </row>
    <row r="104" spans="1:8">
      <c r="A104" s="75" t="s">
        <v>46</v>
      </c>
      <c r="B104" s="83">
        <f t="shared" si="70"/>
        <v>0</v>
      </c>
      <c r="C104" s="83">
        <f t="shared" si="70"/>
        <v>0</v>
      </c>
      <c r="D104" s="83">
        <f t="shared" si="70"/>
        <v>0</v>
      </c>
      <c r="E104" s="83">
        <f t="shared" si="70"/>
        <v>0</v>
      </c>
      <c r="F104" s="83">
        <f t="shared" si="70"/>
        <v>0</v>
      </c>
      <c r="G104" s="83">
        <f t="shared" si="70"/>
        <v>0</v>
      </c>
      <c r="H104" s="83">
        <f t="shared" si="70"/>
        <v>0</v>
      </c>
    </row>
    <row r="105" spans="1:8">
      <c r="A105" s="75" t="s">
        <v>12</v>
      </c>
      <c r="B105" s="83">
        <f t="shared" si="70"/>
        <v>0</v>
      </c>
      <c r="C105" s="83">
        <f t="shared" si="70"/>
        <v>0</v>
      </c>
      <c r="D105" s="83">
        <f t="shared" si="70"/>
        <v>0</v>
      </c>
      <c r="E105" s="83">
        <f t="shared" si="70"/>
        <v>0</v>
      </c>
      <c r="F105" s="83">
        <f t="shared" si="70"/>
        <v>0</v>
      </c>
      <c r="G105" s="83">
        <f t="shared" si="70"/>
        <v>0</v>
      </c>
      <c r="H105" s="83">
        <f t="shared" si="70"/>
        <v>0</v>
      </c>
    </row>
    <row r="106" spans="1:8">
      <c r="A106" s="75" t="s">
        <v>27</v>
      </c>
      <c r="B106" s="83">
        <f t="shared" si="70"/>
        <v>0</v>
      </c>
      <c r="C106" s="83">
        <f t="shared" si="70"/>
        <v>0</v>
      </c>
      <c r="D106" s="83">
        <f t="shared" si="70"/>
        <v>0</v>
      </c>
      <c r="E106" s="83">
        <f t="shared" si="70"/>
        <v>0</v>
      </c>
      <c r="F106" s="83">
        <f t="shared" si="70"/>
        <v>0</v>
      </c>
      <c r="G106" s="83">
        <f t="shared" si="70"/>
        <v>0</v>
      </c>
      <c r="H106" s="83">
        <f t="shared" si="70"/>
        <v>0</v>
      </c>
    </row>
    <row r="107" spans="1:8">
      <c r="A107" s="75" t="s">
        <v>47</v>
      </c>
      <c r="B107" s="83">
        <f t="shared" si="70"/>
        <v>0</v>
      </c>
      <c r="C107" s="83">
        <f t="shared" si="70"/>
        <v>0</v>
      </c>
      <c r="D107" s="83">
        <f t="shared" si="70"/>
        <v>0</v>
      </c>
      <c r="E107" s="83">
        <f t="shared" si="70"/>
        <v>0</v>
      </c>
      <c r="F107" s="83">
        <f t="shared" si="70"/>
        <v>0</v>
      </c>
      <c r="G107" s="83">
        <f t="shared" si="70"/>
        <v>0</v>
      </c>
      <c r="H107" s="83">
        <f t="shared" si="70"/>
        <v>0</v>
      </c>
    </row>
    <row r="108" spans="1:8">
      <c r="A108" s="75" t="s">
        <v>12</v>
      </c>
      <c r="B108" s="83">
        <f t="shared" si="70"/>
        <v>0</v>
      </c>
      <c r="C108" s="83">
        <f t="shared" si="70"/>
        <v>0</v>
      </c>
      <c r="D108" s="83">
        <f t="shared" si="70"/>
        <v>0</v>
      </c>
      <c r="E108" s="83">
        <f t="shared" si="70"/>
        <v>0</v>
      </c>
      <c r="F108" s="83">
        <f t="shared" si="70"/>
        <v>0</v>
      </c>
      <c r="G108" s="83" t="e">
        <f t="shared" si="70"/>
        <v>#DIV/0!</v>
      </c>
      <c r="H108" s="83">
        <f t="shared" si="70"/>
        <v>0</v>
      </c>
    </row>
    <row r="109" spans="1:8">
      <c r="A109" s="75" t="s">
        <v>29</v>
      </c>
      <c r="B109" s="83">
        <f t="shared" si="70"/>
        <v>0</v>
      </c>
      <c r="C109" s="83">
        <f t="shared" si="70"/>
        <v>0</v>
      </c>
      <c r="D109" s="83">
        <f t="shared" si="70"/>
        <v>0</v>
      </c>
      <c r="E109" s="83">
        <f t="shared" si="70"/>
        <v>0</v>
      </c>
      <c r="F109" s="83">
        <f t="shared" si="70"/>
        <v>0</v>
      </c>
      <c r="G109" s="83">
        <f t="shared" si="70"/>
        <v>0</v>
      </c>
      <c r="H109" s="83">
        <f t="shared" si="70"/>
        <v>0</v>
      </c>
    </row>
    <row r="110" spans="1:8">
      <c r="A110" s="75" t="s">
        <v>48</v>
      </c>
      <c r="B110" s="83">
        <f t="shared" si="70"/>
        <v>0</v>
      </c>
      <c r="C110" s="83">
        <f t="shared" si="70"/>
        <v>0</v>
      </c>
      <c r="D110" s="83">
        <f t="shared" si="70"/>
        <v>0</v>
      </c>
      <c r="E110" s="83">
        <f t="shared" si="70"/>
        <v>0</v>
      </c>
      <c r="F110" s="83">
        <f t="shared" si="70"/>
        <v>0</v>
      </c>
      <c r="G110" s="83">
        <f t="shared" si="70"/>
        <v>0</v>
      </c>
      <c r="H110" s="83">
        <f t="shared" si="70"/>
        <v>0</v>
      </c>
    </row>
    <row r="111" spans="1:8">
      <c r="A111" s="75" t="s">
        <v>12</v>
      </c>
      <c r="B111" s="83">
        <f t="shared" si="70"/>
        <v>0</v>
      </c>
      <c r="C111" s="83">
        <f t="shared" si="70"/>
        <v>0</v>
      </c>
      <c r="D111" s="83">
        <f t="shared" si="70"/>
        <v>0</v>
      </c>
      <c r="E111" s="83" t="e">
        <f t="shared" si="70"/>
        <v>#DIV/0!</v>
      </c>
      <c r="F111" s="83">
        <f t="shared" si="70"/>
        <v>0</v>
      </c>
      <c r="G111" s="83">
        <f t="shared" si="70"/>
        <v>0</v>
      </c>
      <c r="H111" s="83">
        <f t="shared" si="70"/>
        <v>0</v>
      </c>
    </row>
    <row r="112" spans="1:8">
      <c r="A112" s="75" t="s">
        <v>31</v>
      </c>
      <c r="B112" s="83">
        <f t="shared" si="70"/>
        <v>0</v>
      </c>
      <c r="C112" s="83">
        <f t="shared" si="70"/>
        <v>0</v>
      </c>
      <c r="D112" s="83">
        <f t="shared" si="70"/>
        <v>0</v>
      </c>
      <c r="E112" s="83">
        <f t="shared" si="70"/>
        <v>0</v>
      </c>
      <c r="F112" s="83">
        <f t="shared" si="70"/>
        <v>0</v>
      </c>
      <c r="G112" s="83">
        <f t="shared" si="70"/>
        <v>0</v>
      </c>
      <c r="H112" s="83">
        <f t="shared" si="70"/>
        <v>0</v>
      </c>
    </row>
    <row r="113" spans="1:8">
      <c r="A113" s="75" t="s">
        <v>52</v>
      </c>
      <c r="B113" s="83">
        <f t="shared" si="70"/>
        <v>0</v>
      </c>
      <c r="C113" s="83">
        <f t="shared" si="70"/>
        <v>0</v>
      </c>
      <c r="D113" s="83">
        <f t="shared" si="70"/>
        <v>0</v>
      </c>
      <c r="E113" s="83">
        <f t="shared" si="70"/>
        <v>0</v>
      </c>
      <c r="F113" s="83">
        <f t="shared" si="70"/>
        <v>0</v>
      </c>
      <c r="G113" s="83">
        <f t="shared" si="70"/>
        <v>0</v>
      </c>
      <c r="H113" s="83">
        <f t="shared" si="70"/>
        <v>0</v>
      </c>
    </row>
    <row r="114" spans="1:8">
      <c r="A114" s="75" t="s">
        <v>12</v>
      </c>
      <c r="B114" s="83">
        <f t="shared" si="70"/>
        <v>0</v>
      </c>
      <c r="C114" s="83">
        <f t="shared" si="70"/>
        <v>0</v>
      </c>
      <c r="D114" s="83">
        <f t="shared" si="70"/>
        <v>0</v>
      </c>
      <c r="E114" s="83">
        <f t="shared" si="70"/>
        <v>0</v>
      </c>
      <c r="F114" s="83">
        <f t="shared" si="70"/>
        <v>0</v>
      </c>
      <c r="G114" s="83">
        <f t="shared" si="70"/>
        <v>0</v>
      </c>
      <c r="H114" s="83">
        <f t="shared" si="70"/>
        <v>0</v>
      </c>
    </row>
  </sheetData>
  <mergeCells count="18">
    <mergeCell ref="AJ19:AQ19"/>
    <mergeCell ref="A19:H19"/>
    <mergeCell ref="J19:Q19"/>
    <mergeCell ref="R19:Y19"/>
    <mergeCell ref="AA19:AH19"/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</mergeCells>
  <phoneticPr fontId="17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/>
  <dimension ref="A1:BG114"/>
  <sheetViews>
    <sheetView topLeftCell="A16" zoomScaleNormal="100" zoomScaleSheetLayoutView="55" workbookViewId="0">
      <selection activeCell="A9" sqref="A9:AQ40"/>
    </sheetView>
  </sheetViews>
  <sheetFormatPr defaultRowHeight="13.2"/>
  <cols>
    <col min="1" max="1" width="15" customWidth="1"/>
    <col min="2" max="3" width="8.33203125" customWidth="1"/>
    <col min="4" max="4" width="8.6640625" customWidth="1"/>
    <col min="5" max="5" width="8.109375" customWidth="1"/>
    <col min="6" max="6" width="8" customWidth="1"/>
    <col min="7" max="7" width="7.6640625" customWidth="1"/>
    <col min="8" max="8" width="8.109375" customWidth="1"/>
    <col min="9" max="9" width="5.6640625" customWidth="1"/>
    <col min="10" max="10" width="14.33203125" customWidth="1"/>
    <col min="11" max="11" width="7.33203125" customWidth="1"/>
    <col min="12" max="12" width="7.6640625" customWidth="1"/>
    <col min="13" max="13" width="8.109375" customWidth="1"/>
    <col min="14" max="14" width="7.33203125" customWidth="1"/>
    <col min="15" max="15" width="7.88671875" customWidth="1"/>
    <col min="16" max="16" width="7.109375" customWidth="1"/>
    <col min="17" max="17" width="6.6640625" customWidth="1"/>
    <col min="18" max="18" width="14.33203125" customWidth="1"/>
    <col min="19" max="20" width="7.33203125" customWidth="1"/>
    <col min="21" max="21" width="8" customWidth="1"/>
    <col min="22" max="22" width="6.88671875" customWidth="1"/>
    <col min="23" max="24" width="7.6640625" customWidth="1"/>
    <col min="25" max="25" width="7.33203125" customWidth="1"/>
    <col min="26" max="26" width="3" customWidth="1"/>
    <col min="27" max="27" width="14.5546875" customWidth="1"/>
    <col min="28" max="28" width="6.88671875" customWidth="1"/>
    <col min="29" max="29" width="7.33203125" customWidth="1"/>
    <col min="30" max="30" width="8.33203125" customWidth="1"/>
    <col min="31" max="31" width="6.6640625" customWidth="1"/>
    <col min="32" max="32" width="6.88671875" customWidth="1"/>
    <col min="33" max="33" width="7.33203125" customWidth="1"/>
    <col min="34" max="34" width="6.6640625" customWidth="1"/>
    <col min="35" max="35" width="4.6640625" customWidth="1"/>
    <col min="36" max="36" width="14.109375" customWidth="1"/>
  </cols>
  <sheetData>
    <row r="1" spans="1:59" s="12" customFormat="1" ht="16.5" customHeight="1">
      <c r="A1" s="404"/>
      <c r="B1" s="479" t="s">
        <v>68</v>
      </c>
      <c r="C1" s="479"/>
      <c r="D1" s="479"/>
      <c r="E1" s="479"/>
      <c r="F1" s="479"/>
      <c r="G1" s="479"/>
      <c r="H1" s="479"/>
      <c r="I1"/>
      <c r="K1" s="37"/>
      <c r="L1" s="37"/>
      <c r="M1" s="37"/>
      <c r="N1" s="37"/>
      <c r="O1" s="37"/>
      <c r="P1" s="37"/>
      <c r="Q1" s="38" t="s">
        <v>33</v>
      </c>
    </row>
    <row r="2" spans="1:59" s="12" customFormat="1" ht="16.5" customHeight="1">
      <c r="A2" s="405"/>
      <c r="B2" s="480" t="s">
        <v>77</v>
      </c>
      <c r="C2" s="480"/>
      <c r="D2" s="480"/>
      <c r="E2" s="480"/>
      <c r="F2" s="480"/>
      <c r="G2" s="480"/>
      <c r="H2" s="480"/>
      <c r="I2"/>
      <c r="K2" s="37"/>
      <c r="L2" s="37"/>
      <c r="M2" s="37"/>
      <c r="N2" s="37"/>
      <c r="O2" s="37"/>
      <c r="P2" s="37"/>
      <c r="Q2" s="38"/>
    </row>
    <row r="3" spans="1:59" s="12" customFormat="1" ht="19.5" customHeight="1">
      <c r="A3" s="405"/>
      <c r="B3" s="405"/>
      <c r="C3" s="406"/>
      <c r="D3" s="407"/>
      <c r="E3" s="408"/>
      <c r="F3" s="408"/>
      <c r="G3" s="408"/>
      <c r="H3" s="408"/>
      <c r="I3"/>
    </row>
    <row r="4" spans="1:59" s="37" customFormat="1" ht="30.75" customHeight="1">
      <c r="A4" s="482" t="s">
        <v>56</v>
      </c>
      <c r="B4" s="482"/>
      <c r="C4" s="482"/>
      <c r="D4" s="482"/>
      <c r="E4" s="482"/>
      <c r="F4" s="482"/>
      <c r="G4" s="482"/>
      <c r="H4" s="482"/>
      <c r="I4"/>
      <c r="J4" s="40"/>
      <c r="K4" s="12"/>
      <c r="L4" s="12"/>
      <c r="M4" s="12"/>
      <c r="N4" s="12"/>
      <c r="O4" s="12"/>
      <c r="P4" s="12"/>
      <c r="Q4" s="12"/>
    </row>
    <row r="5" spans="1:59" ht="17.25" customHeight="1">
      <c r="A5" s="481" t="s">
        <v>78</v>
      </c>
      <c r="B5" s="481"/>
      <c r="C5" s="481"/>
      <c r="D5" s="481"/>
      <c r="E5" s="481"/>
      <c r="F5" s="481"/>
      <c r="G5" s="481"/>
      <c r="H5" s="48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  <c r="AZ5" s="2"/>
      <c r="BE5" s="2"/>
    </row>
    <row r="6" spans="1:59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09"/>
      <c r="BA6" s="109"/>
      <c r="BB6" s="109"/>
      <c r="BC6" s="109"/>
      <c r="BD6" s="109"/>
      <c r="BE6" s="109"/>
      <c r="BF6" s="109"/>
      <c r="BG6" s="109"/>
    </row>
    <row r="7" spans="1:59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09"/>
      <c r="BA7" s="109"/>
      <c r="BB7" s="109"/>
      <c r="BC7" s="109"/>
      <c r="BD7" s="109"/>
      <c r="BE7" s="109"/>
      <c r="BF7" s="109"/>
      <c r="BG7" s="109"/>
    </row>
    <row r="8" spans="1:59" s="115" customFormat="1">
      <c r="A8" s="467" t="s">
        <v>17</v>
      </c>
      <c r="B8" s="468"/>
      <c r="C8" s="468"/>
      <c r="D8" s="468"/>
      <c r="E8" s="468"/>
      <c r="F8" s="468"/>
      <c r="G8" s="468"/>
      <c r="H8" s="469"/>
      <c r="I8"/>
      <c r="J8" s="473" t="s">
        <v>17</v>
      </c>
      <c r="K8" s="473"/>
      <c r="L8" s="473"/>
      <c r="M8" s="473"/>
      <c r="N8" s="473"/>
      <c r="O8" s="473"/>
      <c r="P8" s="473"/>
      <c r="Q8" s="473"/>
      <c r="R8" s="473" t="s">
        <v>17</v>
      </c>
      <c r="S8" s="473"/>
      <c r="T8" s="473"/>
      <c r="U8" s="473"/>
      <c r="V8" s="473"/>
      <c r="W8" s="473"/>
      <c r="X8" s="473"/>
      <c r="Y8" s="473"/>
      <c r="Z8" s="188"/>
      <c r="AA8" s="467" t="s">
        <v>17</v>
      </c>
      <c r="AB8" s="468"/>
      <c r="AC8" s="468"/>
      <c r="AD8" s="468"/>
      <c r="AE8" s="468"/>
      <c r="AF8" s="468"/>
      <c r="AG8" s="468"/>
      <c r="AH8" s="469"/>
      <c r="AI8" s="188"/>
      <c r="AJ8" s="467" t="s">
        <v>17</v>
      </c>
      <c r="AK8" s="468"/>
      <c r="AL8" s="468"/>
      <c r="AM8" s="468"/>
      <c r="AN8" s="468"/>
      <c r="AO8" s="468"/>
      <c r="AP8" s="468"/>
      <c r="AQ8" s="469"/>
      <c r="AZ8" s="475"/>
      <c r="BA8" s="475"/>
      <c r="BB8" s="475"/>
      <c r="BC8" s="475"/>
      <c r="BD8" s="475"/>
      <c r="BE8" s="475"/>
      <c r="BF8" s="475"/>
      <c r="BG8" s="475"/>
    </row>
    <row r="9" spans="1:59" s="115" customFormat="1">
      <c r="A9" s="33" t="s">
        <v>18</v>
      </c>
      <c r="B9" s="42">
        <f>B13+B20</f>
        <v>683</v>
      </c>
      <c r="C9" s="33">
        <f t="shared" ref="C9:H10" si="0">C13+C20</f>
        <v>37286</v>
      </c>
      <c r="D9" s="33">
        <f t="shared" si="0"/>
        <v>30742</v>
      </c>
      <c r="E9" s="33">
        <f t="shared" si="0"/>
        <v>6669</v>
      </c>
      <c r="F9" s="33">
        <f t="shared" si="0"/>
        <v>6129</v>
      </c>
      <c r="G9" s="33">
        <f t="shared" si="0"/>
        <v>1780</v>
      </c>
      <c r="H9" s="33">
        <f t="shared" si="0"/>
        <v>16164</v>
      </c>
      <c r="I9" s="203"/>
      <c r="J9" s="33" t="s">
        <v>18</v>
      </c>
      <c r="K9" s="42">
        <f>K13+K20</f>
        <v>380.2</v>
      </c>
      <c r="L9" s="33">
        <f>L13+L20</f>
        <v>16722</v>
      </c>
      <c r="M9" s="33">
        <f t="shared" ref="M9:Q10" si="1">M13+M20</f>
        <v>13488</v>
      </c>
      <c r="N9" s="33">
        <f>N13+N20</f>
        <v>1590</v>
      </c>
      <c r="O9" s="33">
        <f>O13+O20</f>
        <v>3706</v>
      </c>
      <c r="P9" s="33">
        <f>P13+P20</f>
        <v>1381</v>
      </c>
      <c r="Q9" s="33">
        <f>Q13+Q20</f>
        <v>6811</v>
      </c>
      <c r="R9" s="33" t="s">
        <v>18</v>
      </c>
      <c r="S9" s="42">
        <f>S13+S20</f>
        <v>297.49999999999994</v>
      </c>
      <c r="T9" s="33">
        <f>T13+T20</f>
        <v>20248</v>
      </c>
      <c r="U9" s="33">
        <f>U13+U20</f>
        <v>16989</v>
      </c>
      <c r="V9" s="33">
        <f t="shared" ref="U9:Y10" si="2">V13+V20</f>
        <v>5020</v>
      </c>
      <c r="W9" s="33">
        <f t="shared" si="2"/>
        <v>2350</v>
      </c>
      <c r="X9" s="33">
        <f t="shared" si="2"/>
        <v>393</v>
      </c>
      <c r="Y9" s="33">
        <f t="shared" si="2"/>
        <v>9226</v>
      </c>
      <c r="Z9" s="110"/>
      <c r="AA9" s="33" t="s">
        <v>18</v>
      </c>
      <c r="AB9" s="42">
        <f>AB20+AB13</f>
        <v>260.59999999999997</v>
      </c>
      <c r="AC9" s="33">
        <f t="shared" ref="AC9:AH10" si="3">AC13+AC20</f>
        <v>17890</v>
      </c>
      <c r="AD9" s="33">
        <f t="shared" si="3"/>
        <v>14960</v>
      </c>
      <c r="AE9" s="33">
        <f t="shared" si="3"/>
        <v>4978</v>
      </c>
      <c r="AF9" s="33">
        <f t="shared" si="3"/>
        <v>1791</v>
      </c>
      <c r="AG9" s="33">
        <f t="shared" si="3"/>
        <v>122</v>
      </c>
      <c r="AH9" s="392">
        <f t="shared" si="3"/>
        <v>8071</v>
      </c>
      <c r="AI9" s="393"/>
      <c r="AJ9" s="63" t="s">
        <v>18</v>
      </c>
      <c r="AK9" s="42">
        <f>AK13+AK20</f>
        <v>5.3</v>
      </c>
      <c r="AL9" s="33">
        <f t="shared" ref="AL9:AQ10" si="4">AL13+AL20</f>
        <v>316</v>
      </c>
      <c r="AM9" s="33">
        <f t="shared" si="4"/>
        <v>265</v>
      </c>
      <c r="AN9" s="33">
        <f t="shared" si="4"/>
        <v>59</v>
      </c>
      <c r="AO9" s="33">
        <f t="shared" si="4"/>
        <v>73</v>
      </c>
      <c r="AP9" s="33">
        <f t="shared" si="4"/>
        <v>6</v>
      </c>
      <c r="AQ9" s="33">
        <f t="shared" si="4"/>
        <v>127</v>
      </c>
      <c r="AV9" s="110"/>
      <c r="AW9" s="110"/>
      <c r="AX9" s="110"/>
      <c r="AY9" s="110"/>
      <c r="AZ9" s="110"/>
      <c r="BA9" s="111"/>
      <c r="BB9" s="110"/>
      <c r="BC9" s="110"/>
      <c r="BD9" s="110"/>
      <c r="BE9" s="110"/>
      <c r="BF9" s="110"/>
      <c r="BG9" s="110"/>
    </row>
    <row r="10" spans="1:59" s="115" customFormat="1">
      <c r="A10" s="7" t="s">
        <v>19</v>
      </c>
      <c r="B10" s="42">
        <f>B14+B21</f>
        <v>450.70000000000005</v>
      </c>
      <c r="C10" s="33">
        <f t="shared" si="0"/>
        <v>24267</v>
      </c>
      <c r="D10" s="33">
        <f>D14+D21</f>
        <v>21311</v>
      </c>
      <c r="E10" s="33">
        <f>E14+E21</f>
        <v>7901</v>
      </c>
      <c r="F10" s="33">
        <f t="shared" si="0"/>
        <v>2860</v>
      </c>
      <c r="G10" s="33">
        <f>G14+G21</f>
        <v>400</v>
      </c>
      <c r="H10" s="33">
        <f t="shared" si="0"/>
        <v>10150</v>
      </c>
      <c r="I10" s="203"/>
      <c r="J10" s="7" t="s">
        <v>19</v>
      </c>
      <c r="K10" s="42">
        <f>K14+K21</f>
        <v>292.10000000000002</v>
      </c>
      <c r="L10" s="33">
        <f>L14+L21</f>
        <v>14193</v>
      </c>
      <c r="M10" s="33">
        <f>M14+M21</f>
        <v>12066</v>
      </c>
      <c r="N10" s="33">
        <f t="shared" si="1"/>
        <v>4312</v>
      </c>
      <c r="O10" s="33">
        <f t="shared" si="1"/>
        <v>2266</v>
      </c>
      <c r="P10" s="33">
        <f t="shared" si="1"/>
        <v>195</v>
      </c>
      <c r="Q10" s="33">
        <f t="shared" si="1"/>
        <v>5293</v>
      </c>
      <c r="R10" s="7" t="s">
        <v>19</v>
      </c>
      <c r="S10" s="33">
        <f>S14+S21</f>
        <v>158.60000000000002</v>
      </c>
      <c r="T10" s="33">
        <f>T14+T21</f>
        <v>10074</v>
      </c>
      <c r="U10" s="33">
        <f t="shared" si="2"/>
        <v>9245</v>
      </c>
      <c r="V10" s="33">
        <f t="shared" si="2"/>
        <v>3589</v>
      </c>
      <c r="W10" s="33">
        <f t="shared" si="2"/>
        <v>594</v>
      </c>
      <c r="X10" s="33">
        <f>X14+X21</f>
        <v>205</v>
      </c>
      <c r="Y10" s="33">
        <f t="shared" si="2"/>
        <v>4857</v>
      </c>
      <c r="Z10" s="110"/>
      <c r="AA10" s="7" t="s">
        <v>19</v>
      </c>
      <c r="AB10" s="42">
        <f>AB14+AB21</f>
        <v>145.5</v>
      </c>
      <c r="AC10" s="33">
        <f t="shared" si="3"/>
        <v>9067</v>
      </c>
      <c r="AD10" s="33">
        <f t="shared" si="3"/>
        <v>8642</v>
      </c>
      <c r="AE10" s="33">
        <f t="shared" si="3"/>
        <v>3541</v>
      </c>
      <c r="AF10" s="33">
        <f t="shared" si="3"/>
        <v>589</v>
      </c>
      <c r="AG10" s="33">
        <f t="shared" si="3"/>
        <v>153</v>
      </c>
      <c r="AH10" s="33">
        <f t="shared" si="3"/>
        <v>4359</v>
      </c>
      <c r="AI10" s="110"/>
      <c r="AJ10" s="7" t="s">
        <v>19</v>
      </c>
      <c r="AK10" s="42">
        <f>AK14+AK21</f>
        <v>0</v>
      </c>
      <c r="AL10" s="33">
        <f>AL14+AL21</f>
        <v>0</v>
      </c>
      <c r="AM10" s="33">
        <f>AM14+AM21</f>
        <v>0</v>
      </c>
      <c r="AN10" s="33">
        <f t="shared" si="4"/>
        <v>0</v>
      </c>
      <c r="AO10" s="33">
        <f t="shared" si="4"/>
        <v>0</v>
      </c>
      <c r="AP10" s="33">
        <f t="shared" si="4"/>
        <v>0</v>
      </c>
      <c r="AQ10" s="33">
        <f t="shared" si="4"/>
        <v>0</v>
      </c>
      <c r="AZ10" s="112"/>
      <c r="BA10" s="111"/>
      <c r="BB10" s="110"/>
      <c r="BC10" s="110"/>
      <c r="BD10" s="110"/>
      <c r="BE10" s="110"/>
      <c r="BF10" s="110"/>
      <c r="BG10" s="110"/>
    </row>
    <row r="11" spans="1:59" s="115" customFormat="1">
      <c r="A11" s="33" t="s">
        <v>20</v>
      </c>
      <c r="B11" s="26">
        <f t="shared" ref="B11:H11" si="5">B10/B9*100</f>
        <v>65.988286969253295</v>
      </c>
      <c r="C11" s="26">
        <f t="shared" si="5"/>
        <v>65.083409322533925</v>
      </c>
      <c r="D11" s="26">
        <f t="shared" si="5"/>
        <v>69.322100058551811</v>
      </c>
      <c r="E11" s="26">
        <f t="shared" si="5"/>
        <v>118.47353426300795</v>
      </c>
      <c r="F11" s="26">
        <f t="shared" si="5"/>
        <v>46.663403491597322</v>
      </c>
      <c r="G11" s="26">
        <f t="shared" si="5"/>
        <v>22.471910112359549</v>
      </c>
      <c r="H11" s="26">
        <f t="shared" si="5"/>
        <v>62.793862905221474</v>
      </c>
      <c r="I11" s="203"/>
      <c r="J11" s="33" t="s">
        <v>20</v>
      </c>
      <c r="K11" s="26">
        <f t="shared" ref="K11:Q11" si="6">K10/K9*100</f>
        <v>76.827985270910062</v>
      </c>
      <c r="L11" s="26">
        <f t="shared" si="6"/>
        <v>84.876210979547906</v>
      </c>
      <c r="M11" s="26">
        <f t="shared" si="6"/>
        <v>89.457295373665474</v>
      </c>
      <c r="N11" s="26">
        <f t="shared" si="6"/>
        <v>271.19496855345909</v>
      </c>
      <c r="O11" s="26">
        <f t="shared" si="6"/>
        <v>61.144090663788454</v>
      </c>
      <c r="P11" s="26">
        <f t="shared" si="6"/>
        <v>14.120202751629254</v>
      </c>
      <c r="Q11" s="26">
        <f t="shared" si="6"/>
        <v>77.712523858464237</v>
      </c>
      <c r="R11" s="33" t="s">
        <v>20</v>
      </c>
      <c r="S11" s="26">
        <f t="shared" ref="S11:Y11" si="7">S10/S9*100</f>
        <v>53.310924369747916</v>
      </c>
      <c r="T11" s="26">
        <f t="shared" si="7"/>
        <v>49.753062030817858</v>
      </c>
      <c r="U11" s="26">
        <f t="shared" si="7"/>
        <v>54.417564306315846</v>
      </c>
      <c r="V11" s="26">
        <f t="shared" si="7"/>
        <v>71.494023904382473</v>
      </c>
      <c r="W11" s="26">
        <f t="shared" si="7"/>
        <v>25.276595744680851</v>
      </c>
      <c r="X11" s="26">
        <f t="shared" si="7"/>
        <v>52.162849872773542</v>
      </c>
      <c r="Y11" s="26">
        <f t="shared" si="7"/>
        <v>52.644699761543464</v>
      </c>
      <c r="Z11" s="113"/>
      <c r="AA11" s="33" t="s">
        <v>20</v>
      </c>
      <c r="AB11" s="26">
        <f t="shared" ref="AB11:AH11" si="8">AB10/AB9*100</f>
        <v>55.832693783576367</v>
      </c>
      <c r="AC11" s="26">
        <f t="shared" si="8"/>
        <v>50.681945220793743</v>
      </c>
      <c r="AD11" s="26">
        <f t="shared" si="8"/>
        <v>57.767379679144383</v>
      </c>
      <c r="AE11" s="26">
        <f t="shared" si="8"/>
        <v>71.132985134592204</v>
      </c>
      <c r="AF11" s="26">
        <f t="shared" si="8"/>
        <v>32.886655499720824</v>
      </c>
      <c r="AG11" s="26">
        <f t="shared" si="8"/>
        <v>125.40983606557377</v>
      </c>
      <c r="AH11" s="26">
        <f t="shared" si="8"/>
        <v>54.008177425350027</v>
      </c>
      <c r="AI11" s="113"/>
      <c r="AJ11" s="33" t="s">
        <v>20</v>
      </c>
      <c r="AK11" s="26">
        <f t="shared" ref="AK11:AQ11" si="9">AK10/AK9*100</f>
        <v>0</v>
      </c>
      <c r="AL11" s="26">
        <f t="shared" si="9"/>
        <v>0</v>
      </c>
      <c r="AM11" s="26">
        <f t="shared" si="9"/>
        <v>0</v>
      </c>
      <c r="AN11" s="26">
        <f t="shared" si="9"/>
        <v>0</v>
      </c>
      <c r="AO11" s="26">
        <f t="shared" si="9"/>
        <v>0</v>
      </c>
      <c r="AP11" s="26">
        <f t="shared" si="9"/>
        <v>0</v>
      </c>
      <c r="AQ11" s="26">
        <f t="shared" si="9"/>
        <v>0</v>
      </c>
      <c r="AZ11" s="110"/>
      <c r="BA11" s="113"/>
      <c r="BB11" s="113"/>
      <c r="BC11" s="113"/>
      <c r="BD11" s="113"/>
      <c r="BE11" s="113"/>
      <c r="BF11" s="113"/>
      <c r="BG11" s="113"/>
    </row>
    <row r="12" spans="1:59" s="203" customFormat="1" ht="12.75" customHeight="1">
      <c r="A12" s="461" t="s">
        <v>11</v>
      </c>
      <c r="B12" s="477"/>
      <c r="C12" s="477"/>
      <c r="D12" s="477"/>
      <c r="E12" s="477"/>
      <c r="F12" s="477"/>
      <c r="G12" s="477"/>
      <c r="H12" s="478"/>
      <c r="J12" s="476" t="s">
        <v>11</v>
      </c>
      <c r="K12" s="476"/>
      <c r="L12" s="476"/>
      <c r="M12" s="476"/>
      <c r="N12" s="476"/>
      <c r="O12" s="476"/>
      <c r="P12" s="476"/>
      <c r="Q12" s="476"/>
      <c r="R12" s="403" t="s">
        <v>11</v>
      </c>
      <c r="S12" s="403"/>
      <c r="T12" s="403"/>
      <c r="U12" s="403"/>
      <c r="V12" s="403"/>
      <c r="W12" s="403"/>
      <c r="X12" s="403"/>
      <c r="Y12" s="403"/>
      <c r="Z12" s="302"/>
      <c r="AA12" s="388" t="s">
        <v>11</v>
      </c>
      <c r="AB12" s="389"/>
      <c r="AC12" s="389"/>
      <c r="AD12" s="389"/>
      <c r="AE12" s="389"/>
      <c r="AF12" s="389"/>
      <c r="AG12" s="389"/>
      <c r="AH12" s="390"/>
      <c r="AI12" s="302"/>
      <c r="AJ12" s="461" t="s">
        <v>11</v>
      </c>
      <c r="AK12" s="462"/>
      <c r="AL12" s="462"/>
      <c r="AM12" s="462"/>
      <c r="AN12" s="462"/>
      <c r="AO12" s="462"/>
      <c r="AP12" s="462"/>
      <c r="AQ12" s="463"/>
      <c r="AZ12" s="474"/>
      <c r="BA12" s="474"/>
      <c r="BB12" s="474"/>
      <c r="BC12" s="474"/>
      <c r="BD12" s="474"/>
      <c r="BE12" s="474"/>
      <c r="BF12" s="474"/>
      <c r="BG12" s="474"/>
    </row>
    <row r="13" spans="1:59" s="203" customFormat="1">
      <c r="A13" s="244" t="s">
        <v>18</v>
      </c>
      <c r="B13" s="27">
        <f>K13+S13+AK13</f>
        <v>116.9</v>
      </c>
      <c r="C13" s="6">
        <f>L13+T13+AL13</f>
        <v>7602</v>
      </c>
      <c r="D13" s="6">
        <f>E13+F13+G13+H13</f>
        <v>5836</v>
      </c>
      <c r="E13" s="6">
        <f t="shared" ref="E13:H14" si="10">N13+V13+AN13</f>
        <v>1558</v>
      </c>
      <c r="F13" s="6">
        <f t="shared" si="10"/>
        <v>2131</v>
      </c>
      <c r="G13" s="6">
        <f t="shared" si="10"/>
        <v>685</v>
      </c>
      <c r="H13" s="6">
        <f t="shared" si="10"/>
        <v>1462</v>
      </c>
      <c r="J13" s="244" t="s">
        <v>18</v>
      </c>
      <c r="K13" s="27">
        <v>103.5</v>
      </c>
      <c r="L13" s="6">
        <v>6526</v>
      </c>
      <c r="M13" s="6">
        <v>5010</v>
      </c>
      <c r="N13" s="6">
        <v>1333</v>
      </c>
      <c r="O13" s="6">
        <v>1837</v>
      </c>
      <c r="P13" s="6">
        <v>579</v>
      </c>
      <c r="Q13" s="6">
        <v>1261</v>
      </c>
      <c r="R13" s="244" t="s">
        <v>18</v>
      </c>
      <c r="S13" s="6">
        <v>13.4</v>
      </c>
      <c r="T13" s="6">
        <v>1076</v>
      </c>
      <c r="U13" s="6">
        <v>826</v>
      </c>
      <c r="V13" s="6">
        <v>225</v>
      </c>
      <c r="W13" s="6">
        <v>294</v>
      </c>
      <c r="X13" s="6">
        <v>106</v>
      </c>
      <c r="Y13" s="6">
        <v>201</v>
      </c>
      <c r="Z13" s="1"/>
      <c r="AA13" s="244" t="s">
        <v>18</v>
      </c>
      <c r="AB13" s="6">
        <v>13.4</v>
      </c>
      <c r="AC13" s="6">
        <v>1076</v>
      </c>
      <c r="AD13" s="6">
        <v>826</v>
      </c>
      <c r="AE13" s="6">
        <v>225</v>
      </c>
      <c r="AF13" s="6">
        <v>294</v>
      </c>
      <c r="AG13" s="6">
        <v>106</v>
      </c>
      <c r="AH13" s="6">
        <v>201</v>
      </c>
      <c r="AI13" s="393"/>
      <c r="AJ13" s="394" t="s">
        <v>18</v>
      </c>
      <c r="AK13" s="27">
        <v>0</v>
      </c>
      <c r="AL13" s="6">
        <v>0</v>
      </c>
      <c r="AM13" s="6">
        <f>AN13+AO13+AP13+AQ13</f>
        <v>0</v>
      </c>
      <c r="AN13" s="6"/>
      <c r="AO13" s="6"/>
      <c r="AP13" s="6"/>
      <c r="AQ13" s="6"/>
      <c r="AZ13" s="14"/>
      <c r="BA13" s="114"/>
      <c r="BB13" s="1"/>
      <c r="BC13" s="1"/>
      <c r="BD13" s="1"/>
      <c r="BE13" s="1"/>
      <c r="BF13" s="1"/>
      <c r="BG13" s="1"/>
    </row>
    <row r="14" spans="1:59" s="203" customFormat="1">
      <c r="A14" s="18" t="s">
        <v>19</v>
      </c>
      <c r="B14" s="27">
        <f>K14+S14+AK14</f>
        <v>175.5</v>
      </c>
      <c r="C14" s="6">
        <f>L14+T14+AL14</f>
        <v>10149</v>
      </c>
      <c r="D14" s="6">
        <f>E14+F14+G14+H14</f>
        <v>8552</v>
      </c>
      <c r="E14" s="6">
        <f t="shared" si="10"/>
        <v>4066</v>
      </c>
      <c r="F14" s="6">
        <f t="shared" si="10"/>
        <v>1775</v>
      </c>
      <c r="G14" s="6">
        <f t="shared" si="10"/>
        <v>154</v>
      </c>
      <c r="H14" s="6">
        <f t="shared" si="10"/>
        <v>2557</v>
      </c>
      <c r="J14" s="18" t="s">
        <v>19</v>
      </c>
      <c r="K14" s="6">
        <v>171.2</v>
      </c>
      <c r="L14" s="6">
        <v>9851</v>
      </c>
      <c r="M14" s="6">
        <f>N14+O14+P14+Q14</f>
        <v>8304</v>
      </c>
      <c r="N14" s="6">
        <v>3857</v>
      </c>
      <c r="O14" s="6">
        <v>1761</v>
      </c>
      <c r="P14" s="6">
        <v>154</v>
      </c>
      <c r="Q14" s="6">
        <v>2532</v>
      </c>
      <c r="R14" s="18" t="s">
        <v>19</v>
      </c>
      <c r="S14" s="27">
        <v>4.3</v>
      </c>
      <c r="T14" s="6">
        <v>298</v>
      </c>
      <c r="U14" s="6">
        <f>V14+W14+X14+Y14</f>
        <v>248</v>
      </c>
      <c r="V14" s="6">
        <v>209</v>
      </c>
      <c r="W14" s="6">
        <v>14</v>
      </c>
      <c r="X14" s="6"/>
      <c r="Y14" s="6">
        <v>25</v>
      </c>
      <c r="Z14" s="1"/>
      <c r="AA14" s="18" t="s">
        <v>19</v>
      </c>
      <c r="AB14" s="27">
        <v>4.3</v>
      </c>
      <c r="AC14" s="6">
        <v>298</v>
      </c>
      <c r="AD14" s="6">
        <f>AE14+AF14+AG14+AH14</f>
        <v>248</v>
      </c>
      <c r="AE14" s="6">
        <v>209</v>
      </c>
      <c r="AF14" s="6">
        <v>14</v>
      </c>
      <c r="AG14" s="6"/>
      <c r="AH14" s="6">
        <v>25</v>
      </c>
      <c r="AI14" s="1"/>
      <c r="AJ14" s="18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  <c r="AZ14" s="20"/>
      <c r="BA14" s="1"/>
      <c r="BB14" s="1"/>
      <c r="BC14" s="1"/>
      <c r="BD14" s="1"/>
      <c r="BE14" s="1"/>
      <c r="BF14" s="1"/>
      <c r="BG14" s="1"/>
    </row>
    <row r="15" spans="1:59" s="203" customFormat="1">
      <c r="A15" s="244" t="s">
        <v>20</v>
      </c>
      <c r="B15" s="26">
        <f t="shared" ref="B15:H15" si="11">B14/B13*100</f>
        <v>150.12831479897349</v>
      </c>
      <c r="C15" s="26">
        <f t="shared" si="11"/>
        <v>133.50434096290448</v>
      </c>
      <c r="D15" s="26">
        <f>D14/D13*100</f>
        <v>146.53872515421523</v>
      </c>
      <c r="E15" s="26">
        <f t="shared" si="11"/>
        <v>260.97560975609758</v>
      </c>
      <c r="F15" s="26">
        <f t="shared" si="11"/>
        <v>83.294228061942761</v>
      </c>
      <c r="G15" s="26">
        <f t="shared" si="11"/>
        <v>22.481751824817518</v>
      </c>
      <c r="H15" s="26">
        <f t="shared" si="11"/>
        <v>174.89740082079345</v>
      </c>
      <c r="J15" s="244" t="s">
        <v>20</v>
      </c>
      <c r="K15" s="26">
        <f t="shared" ref="K15:Q15" si="12">K14/K13*100</f>
        <v>165.41062801932367</v>
      </c>
      <c r="L15" s="26">
        <f t="shared" si="12"/>
        <v>150.95004596996628</v>
      </c>
      <c r="M15" s="26">
        <f t="shared" si="12"/>
        <v>165.74850299401197</v>
      </c>
      <c r="N15" s="26">
        <f t="shared" si="12"/>
        <v>289.34733683420853</v>
      </c>
      <c r="O15" s="26">
        <f t="shared" si="12"/>
        <v>95.862819814915625</v>
      </c>
      <c r="P15" s="26">
        <f t="shared" si="12"/>
        <v>26.597582037996549</v>
      </c>
      <c r="Q15" s="26">
        <f t="shared" si="12"/>
        <v>200.79302141157811</v>
      </c>
      <c r="R15" s="244" t="s">
        <v>20</v>
      </c>
      <c r="S15" s="26">
        <f t="shared" ref="S15:Y15" si="13">S14/S13*100</f>
        <v>32.089552238805972</v>
      </c>
      <c r="T15" s="26">
        <f t="shared" si="13"/>
        <v>27.695167286245354</v>
      </c>
      <c r="U15" s="26">
        <f t="shared" si="13"/>
        <v>30.024213075060537</v>
      </c>
      <c r="V15" s="26">
        <f t="shared" si="13"/>
        <v>92.888888888888886</v>
      </c>
      <c r="W15" s="26">
        <f t="shared" si="13"/>
        <v>4.7619047619047619</v>
      </c>
      <c r="X15" s="26">
        <f t="shared" si="13"/>
        <v>0</v>
      </c>
      <c r="Y15" s="26">
        <f t="shared" si="13"/>
        <v>12.437810945273633</v>
      </c>
      <c r="Z15" s="113"/>
      <c r="AA15" s="244" t="s">
        <v>20</v>
      </c>
      <c r="AB15" s="26">
        <f t="shared" ref="AB15:AH15" si="14">AB14/AB13*100</f>
        <v>32.089552238805972</v>
      </c>
      <c r="AC15" s="26">
        <f t="shared" si="14"/>
        <v>27.695167286245354</v>
      </c>
      <c r="AD15" s="26">
        <f t="shared" si="14"/>
        <v>30.024213075060537</v>
      </c>
      <c r="AE15" s="26">
        <f t="shared" si="14"/>
        <v>92.888888888888886</v>
      </c>
      <c r="AF15" s="26">
        <f t="shared" si="14"/>
        <v>4.7619047619047619</v>
      </c>
      <c r="AG15" s="26">
        <f t="shared" si="14"/>
        <v>0</v>
      </c>
      <c r="AH15" s="26">
        <f t="shared" si="14"/>
        <v>12.437810945273633</v>
      </c>
      <c r="AI15" s="113"/>
      <c r="AJ15" s="244" t="s">
        <v>20</v>
      </c>
      <c r="AK15" s="26" t="e">
        <f>AK14/AK13*100</f>
        <v>#DIV/0!</v>
      </c>
      <c r="AL15" s="26" t="e">
        <f>AL14/AL13*100</f>
        <v>#DIV/0!</v>
      </c>
      <c r="AM15" s="26" t="e">
        <f>AM14/AM13*100</f>
        <v>#DIV/0!</v>
      </c>
      <c r="AN15" s="26"/>
      <c r="AO15" s="26"/>
      <c r="AP15" s="26"/>
      <c r="AQ15" s="26"/>
      <c r="AZ15" s="14"/>
      <c r="BA15" s="113"/>
      <c r="BB15" s="113"/>
      <c r="BC15" s="113"/>
      <c r="BD15" s="113"/>
      <c r="BE15" s="113"/>
      <c r="BF15" s="113"/>
      <c r="BG15" s="113"/>
    </row>
    <row r="16" spans="1:59" s="203" customFormat="1">
      <c r="A16" s="6" t="s">
        <v>13</v>
      </c>
      <c r="B16" s="27">
        <f t="shared" ref="B16:C18" si="15">K16+S16+AK16</f>
        <v>109.6</v>
      </c>
      <c r="C16" s="6">
        <f t="shared" si="15"/>
        <v>6529</v>
      </c>
      <c r="D16" s="6">
        <f>E16+F16+G16+H16</f>
        <v>5513</v>
      </c>
      <c r="E16" s="6">
        <f t="shared" ref="E16:H18" si="16">N16+V16+AN16</f>
        <v>2654</v>
      </c>
      <c r="F16" s="6">
        <f t="shared" si="16"/>
        <v>1202</v>
      </c>
      <c r="G16" s="6">
        <f t="shared" si="16"/>
        <v>113</v>
      </c>
      <c r="H16" s="6">
        <f t="shared" si="16"/>
        <v>1544</v>
      </c>
      <c r="J16" s="6" t="s">
        <v>13</v>
      </c>
      <c r="K16" s="27">
        <v>107.1</v>
      </c>
      <c r="L16" s="6">
        <v>6273</v>
      </c>
      <c r="M16" s="6">
        <f>N16+O16+P16+Q16</f>
        <v>5301</v>
      </c>
      <c r="N16" s="6">
        <v>2475</v>
      </c>
      <c r="O16" s="6">
        <v>1189</v>
      </c>
      <c r="P16" s="6">
        <v>113</v>
      </c>
      <c r="Q16" s="6">
        <v>1524</v>
      </c>
      <c r="R16" s="6" t="s">
        <v>13</v>
      </c>
      <c r="S16" s="6">
        <v>2.5</v>
      </c>
      <c r="T16" s="6">
        <v>256</v>
      </c>
      <c r="U16" s="6">
        <f>V16+W16+X16+Y16</f>
        <v>212</v>
      </c>
      <c r="V16" s="6">
        <v>179</v>
      </c>
      <c r="W16" s="6">
        <v>13</v>
      </c>
      <c r="X16" s="6"/>
      <c r="Y16" s="6">
        <v>20</v>
      </c>
      <c r="Z16" s="1"/>
      <c r="AA16" s="6" t="s">
        <v>13</v>
      </c>
      <c r="AB16" s="6">
        <v>2.5</v>
      </c>
      <c r="AC16" s="6">
        <v>256</v>
      </c>
      <c r="AD16" s="6">
        <f>AE16+AF16+AG16+AH16</f>
        <v>212</v>
      </c>
      <c r="AE16" s="6">
        <v>179</v>
      </c>
      <c r="AF16" s="6">
        <v>13</v>
      </c>
      <c r="AG16" s="6"/>
      <c r="AH16" s="6">
        <v>20</v>
      </c>
      <c r="AI16" s="1"/>
      <c r="AJ16" s="6" t="s">
        <v>13</v>
      </c>
      <c r="AK16" s="27"/>
      <c r="AL16" s="6"/>
      <c r="AM16" s="6">
        <f>AN16+AO16+AP16+AQ16</f>
        <v>0</v>
      </c>
      <c r="AN16" s="6"/>
      <c r="AO16" s="6"/>
      <c r="AP16" s="6"/>
      <c r="AQ16" s="6"/>
      <c r="AZ16" s="1"/>
      <c r="BA16" s="114"/>
      <c r="BB16" s="1"/>
      <c r="BC16" s="1"/>
      <c r="BD16" s="1"/>
      <c r="BE16" s="1"/>
      <c r="BF16" s="1"/>
      <c r="BG16" s="1"/>
    </row>
    <row r="17" spans="1:59" s="203" customFormat="1">
      <c r="A17" s="6" t="s">
        <v>14</v>
      </c>
      <c r="B17" s="6">
        <f t="shared" si="15"/>
        <v>0.7</v>
      </c>
      <c r="C17" s="6">
        <f t="shared" si="15"/>
        <v>15</v>
      </c>
      <c r="D17" s="6">
        <f>E17+F17+G17+H17</f>
        <v>12</v>
      </c>
      <c r="E17" s="6">
        <f t="shared" si="16"/>
        <v>10</v>
      </c>
      <c r="F17" s="6">
        <f t="shared" si="16"/>
        <v>1</v>
      </c>
      <c r="G17" s="6">
        <f t="shared" si="16"/>
        <v>0</v>
      </c>
      <c r="H17" s="6">
        <f t="shared" si="16"/>
        <v>1</v>
      </c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>
        <v>0.7</v>
      </c>
      <c r="T17" s="6">
        <v>15</v>
      </c>
      <c r="U17" s="6">
        <f>V17+W17+X17+Y17</f>
        <v>12</v>
      </c>
      <c r="V17" s="6">
        <v>10</v>
      </c>
      <c r="W17" s="6">
        <v>1</v>
      </c>
      <c r="X17" s="6"/>
      <c r="Y17" s="6">
        <v>1</v>
      </c>
      <c r="Z17" s="1"/>
      <c r="AA17" s="6" t="s">
        <v>14</v>
      </c>
      <c r="AB17" s="6">
        <v>0.7</v>
      </c>
      <c r="AC17" s="6">
        <v>15</v>
      </c>
      <c r="AD17" s="6">
        <f>AE17+AF17+AG17+AH17</f>
        <v>12</v>
      </c>
      <c r="AE17" s="6">
        <v>10</v>
      </c>
      <c r="AF17" s="6">
        <v>1</v>
      </c>
      <c r="AG17" s="6"/>
      <c r="AH17" s="6">
        <v>1</v>
      </c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"/>
      <c r="BA17" s="1"/>
      <c r="BB17" s="1"/>
      <c r="BC17" s="1"/>
      <c r="BD17" s="1"/>
      <c r="BE17" s="1"/>
      <c r="BF17" s="1"/>
      <c r="BG17" s="1"/>
    </row>
    <row r="18" spans="1:59">
      <c r="A18" s="6" t="s">
        <v>15</v>
      </c>
      <c r="B18" s="6">
        <f t="shared" si="15"/>
        <v>12.799999999999999</v>
      </c>
      <c r="C18" s="6">
        <f t="shared" si="15"/>
        <v>1125</v>
      </c>
      <c r="D18" s="6">
        <f>E18+F18+G18+H18</f>
        <v>956</v>
      </c>
      <c r="E18" s="6">
        <f t="shared" si="16"/>
        <v>698</v>
      </c>
      <c r="F18" s="6">
        <f t="shared" si="16"/>
        <v>104</v>
      </c>
      <c r="G18" s="6">
        <f t="shared" si="16"/>
        <v>18</v>
      </c>
      <c r="H18" s="6">
        <f t="shared" si="16"/>
        <v>136</v>
      </c>
      <c r="I18" s="203"/>
      <c r="J18" s="6" t="s">
        <v>15</v>
      </c>
      <c r="K18" s="27">
        <v>12.1</v>
      </c>
      <c r="L18" s="6">
        <v>1099</v>
      </c>
      <c r="M18" s="6">
        <f>N18+O18+P18+Q18</f>
        <v>933</v>
      </c>
      <c r="N18" s="6">
        <v>678</v>
      </c>
      <c r="O18" s="6">
        <v>104</v>
      </c>
      <c r="P18" s="6">
        <v>18</v>
      </c>
      <c r="Q18" s="6">
        <v>133</v>
      </c>
      <c r="R18" s="6" t="s">
        <v>15</v>
      </c>
      <c r="S18" s="6">
        <v>0.7</v>
      </c>
      <c r="T18" s="6">
        <v>26</v>
      </c>
      <c r="U18" s="6">
        <f>V18+W18+X18+Y18</f>
        <v>23</v>
      </c>
      <c r="V18" s="6">
        <v>20</v>
      </c>
      <c r="W18" s="6"/>
      <c r="X18" s="6"/>
      <c r="Y18" s="6">
        <v>3</v>
      </c>
      <c r="Z18" s="1"/>
      <c r="AA18" s="6" t="s">
        <v>15</v>
      </c>
      <c r="AB18" s="6">
        <v>0.7</v>
      </c>
      <c r="AC18" s="6">
        <v>26</v>
      </c>
      <c r="AD18" s="6">
        <f>AE18+AF18+AG18+AH18</f>
        <v>23</v>
      </c>
      <c r="AE18" s="6">
        <v>20</v>
      </c>
      <c r="AF18" s="6"/>
      <c r="AG18" s="6"/>
      <c r="AH18" s="6">
        <v>3</v>
      </c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"/>
      <c r="BA18" s="1"/>
      <c r="BB18" s="1"/>
      <c r="BC18" s="1"/>
      <c r="BD18" s="1"/>
      <c r="BE18" s="1"/>
      <c r="BF18" s="1"/>
      <c r="BG18" s="1"/>
    </row>
    <row r="19" spans="1:59" ht="12.75" customHeight="1">
      <c r="A19" s="461" t="s">
        <v>16</v>
      </c>
      <c r="B19" s="477"/>
      <c r="C19" s="477"/>
      <c r="D19" s="477"/>
      <c r="E19" s="477"/>
      <c r="F19" s="477"/>
      <c r="G19" s="477"/>
      <c r="H19" s="478"/>
      <c r="I19" s="203"/>
      <c r="J19" s="476" t="s">
        <v>16</v>
      </c>
      <c r="K19" s="476"/>
      <c r="L19" s="476"/>
      <c r="M19" s="476"/>
      <c r="N19" s="476"/>
      <c r="O19" s="476"/>
      <c r="P19" s="476"/>
      <c r="Q19" s="476"/>
      <c r="R19" s="476" t="s">
        <v>16</v>
      </c>
      <c r="S19" s="476"/>
      <c r="T19" s="476"/>
      <c r="U19" s="476"/>
      <c r="V19" s="476"/>
      <c r="W19" s="476"/>
      <c r="X19" s="476"/>
      <c r="Y19" s="476"/>
      <c r="Z19" s="302"/>
      <c r="AA19" s="388" t="s">
        <v>16</v>
      </c>
      <c r="AB19" s="389"/>
      <c r="AC19" s="389"/>
      <c r="AD19" s="389"/>
      <c r="AE19" s="389"/>
      <c r="AF19" s="389"/>
      <c r="AG19" s="389"/>
      <c r="AH19" s="390"/>
      <c r="AI19" s="302"/>
      <c r="AJ19" s="461" t="s">
        <v>16</v>
      </c>
      <c r="AK19" s="462"/>
      <c r="AL19" s="462"/>
      <c r="AM19" s="462"/>
      <c r="AN19" s="462"/>
      <c r="AO19" s="462"/>
      <c r="AP19" s="462"/>
      <c r="AQ19" s="463"/>
      <c r="AZ19" s="474"/>
      <c r="BA19" s="474"/>
      <c r="BB19" s="474"/>
      <c r="BC19" s="474"/>
      <c r="BD19" s="474"/>
      <c r="BE19" s="474"/>
      <c r="BF19" s="474"/>
      <c r="BG19" s="474"/>
    </row>
    <row r="20" spans="1:59">
      <c r="A20" s="244" t="s">
        <v>18</v>
      </c>
      <c r="B20" s="27">
        <f>B23+B26+B29+B32+B35+B38</f>
        <v>566.1</v>
      </c>
      <c r="C20" s="6">
        <f t="shared" ref="C20:H21" si="17">C23+C26+C29+C32+C35+C38</f>
        <v>29684</v>
      </c>
      <c r="D20" s="6">
        <f t="shared" si="17"/>
        <v>24906</v>
      </c>
      <c r="E20" s="6">
        <f t="shared" si="17"/>
        <v>5111</v>
      </c>
      <c r="F20" s="6">
        <f t="shared" si="17"/>
        <v>3998</v>
      </c>
      <c r="G20" s="6">
        <f t="shared" si="17"/>
        <v>1095</v>
      </c>
      <c r="H20" s="6">
        <f t="shared" si="17"/>
        <v>14702</v>
      </c>
      <c r="I20" s="203"/>
      <c r="J20" s="244" t="s">
        <v>18</v>
      </c>
      <c r="K20" s="27">
        <f>K23+K26+K29+K32+K35+K38</f>
        <v>276.7</v>
      </c>
      <c r="L20" s="6">
        <f t="shared" ref="L20:Q21" si="18">L23+L26+L29+L32+L35+L38</f>
        <v>10196</v>
      </c>
      <c r="M20" s="6">
        <f t="shared" si="18"/>
        <v>8478</v>
      </c>
      <c r="N20" s="6">
        <f t="shared" si="18"/>
        <v>257</v>
      </c>
      <c r="O20" s="6">
        <f t="shared" si="18"/>
        <v>1869</v>
      </c>
      <c r="P20" s="6">
        <f t="shared" si="18"/>
        <v>802</v>
      </c>
      <c r="Q20" s="6">
        <f t="shared" si="18"/>
        <v>5550</v>
      </c>
      <c r="R20" s="244" t="s">
        <v>18</v>
      </c>
      <c r="S20" s="27">
        <f>S23+S26+S29+S32+S35+S38</f>
        <v>284.09999999999997</v>
      </c>
      <c r="T20" s="6">
        <f t="shared" ref="T20:Y21" si="19">T23+T26+T29+T32+T35+T38</f>
        <v>19172</v>
      </c>
      <c r="U20" s="6">
        <f t="shared" si="19"/>
        <v>16163</v>
      </c>
      <c r="V20" s="6">
        <f t="shared" si="19"/>
        <v>4795</v>
      </c>
      <c r="W20" s="6">
        <f t="shared" si="19"/>
        <v>2056</v>
      </c>
      <c r="X20" s="6">
        <f t="shared" si="19"/>
        <v>287</v>
      </c>
      <c r="Y20" s="6">
        <f t="shared" si="19"/>
        <v>9025</v>
      </c>
      <c r="Z20" s="1"/>
      <c r="AA20" s="244" t="s">
        <v>18</v>
      </c>
      <c r="AB20" s="27">
        <f>AB23+AB26+AB29+AB32+AB35+AB38</f>
        <v>247.2</v>
      </c>
      <c r="AC20" s="6">
        <f t="shared" ref="AC20:AH21" si="20">AC23+AC26+AC29+AC32+AC35+AC38</f>
        <v>16814</v>
      </c>
      <c r="AD20" s="6">
        <f t="shared" si="20"/>
        <v>14134</v>
      </c>
      <c r="AE20" s="6">
        <f t="shared" si="20"/>
        <v>4753</v>
      </c>
      <c r="AF20" s="6">
        <f t="shared" si="20"/>
        <v>1497</v>
      </c>
      <c r="AG20" s="6">
        <f t="shared" si="20"/>
        <v>16</v>
      </c>
      <c r="AH20" s="6">
        <f t="shared" si="20"/>
        <v>7870</v>
      </c>
      <c r="AI20" s="1"/>
      <c r="AJ20" s="244" t="s">
        <v>18</v>
      </c>
      <c r="AK20" s="27">
        <f>AK23+AK26+AK29+AK32+AK35+AK38</f>
        <v>5.3</v>
      </c>
      <c r="AL20" s="6">
        <f t="shared" ref="AL20:AQ21" si="21">AL23+AL26+AL29+AL32+AL35+AL38</f>
        <v>316</v>
      </c>
      <c r="AM20" s="6">
        <f t="shared" si="21"/>
        <v>265</v>
      </c>
      <c r="AN20" s="6">
        <f t="shared" si="21"/>
        <v>59</v>
      </c>
      <c r="AO20" s="6">
        <f t="shared" si="21"/>
        <v>73</v>
      </c>
      <c r="AP20" s="6">
        <f t="shared" si="21"/>
        <v>6</v>
      </c>
      <c r="AQ20" s="6">
        <f t="shared" si="21"/>
        <v>127</v>
      </c>
      <c r="AZ20" s="14"/>
      <c r="BA20" s="114"/>
      <c r="BB20" s="1"/>
      <c r="BC20" s="1"/>
      <c r="BD20" s="1"/>
      <c r="BE20" s="1"/>
      <c r="BF20" s="1"/>
      <c r="BG20" s="1"/>
    </row>
    <row r="21" spans="1:59" s="203" customFormat="1">
      <c r="A21" s="18" t="s">
        <v>19</v>
      </c>
      <c r="B21" s="27">
        <f>B24+B27+B30+B33+B36+B39</f>
        <v>275.20000000000005</v>
      </c>
      <c r="C21" s="6">
        <f t="shared" si="17"/>
        <v>14118</v>
      </c>
      <c r="D21" s="6">
        <f t="shared" si="17"/>
        <v>12759</v>
      </c>
      <c r="E21" s="6">
        <f>E24+E27+E30+E33+E36+E39</f>
        <v>3835</v>
      </c>
      <c r="F21" s="6">
        <f t="shared" si="17"/>
        <v>1085</v>
      </c>
      <c r="G21" s="6">
        <f>G24+G27+G30+G33+G36+G39</f>
        <v>246</v>
      </c>
      <c r="H21" s="6">
        <f t="shared" si="17"/>
        <v>7593</v>
      </c>
      <c r="J21" s="18" t="s">
        <v>19</v>
      </c>
      <c r="K21" s="27">
        <f>K24+K27+K30+K33+K36+K39</f>
        <v>120.9</v>
      </c>
      <c r="L21" s="6">
        <f t="shared" si="18"/>
        <v>4342</v>
      </c>
      <c r="M21" s="6">
        <f t="shared" si="18"/>
        <v>3762</v>
      </c>
      <c r="N21" s="6">
        <f>N24+N27+N30+N33+N36+N39</f>
        <v>455</v>
      </c>
      <c r="O21" s="6">
        <f t="shared" si="18"/>
        <v>505</v>
      </c>
      <c r="P21" s="6">
        <f>P24+P27+P30+P33+P36+P39</f>
        <v>41</v>
      </c>
      <c r="Q21" s="6">
        <f t="shared" si="18"/>
        <v>2761</v>
      </c>
      <c r="R21" s="18" t="s">
        <v>19</v>
      </c>
      <c r="S21" s="27">
        <f>S24+S27+S30+S33+S36+S39</f>
        <v>154.30000000000001</v>
      </c>
      <c r="T21" s="6">
        <f t="shared" si="19"/>
        <v>9776</v>
      </c>
      <c r="U21" s="6">
        <f t="shared" si="19"/>
        <v>8997</v>
      </c>
      <c r="V21" s="6">
        <f>V24+V27+V30+V33+V36+V39</f>
        <v>3380</v>
      </c>
      <c r="W21" s="6">
        <f t="shared" si="19"/>
        <v>580</v>
      </c>
      <c r="X21" s="6">
        <f>X24+X27+X30+X33+X36+X39</f>
        <v>205</v>
      </c>
      <c r="Y21" s="6">
        <f t="shared" si="19"/>
        <v>4832</v>
      </c>
      <c r="Z21" s="1"/>
      <c r="AA21" s="18" t="s">
        <v>19</v>
      </c>
      <c r="AB21" s="27">
        <f>AB24+AB27+AB30+AB33+AB36+AB39</f>
        <v>141.19999999999999</v>
      </c>
      <c r="AC21" s="6">
        <f t="shared" si="20"/>
        <v>8769</v>
      </c>
      <c r="AD21" s="6">
        <f t="shared" si="20"/>
        <v>8394</v>
      </c>
      <c r="AE21" s="6">
        <f>AE24+AE27+AE30+AE33+AE36+AE39</f>
        <v>3332</v>
      </c>
      <c r="AF21" s="6">
        <f t="shared" si="20"/>
        <v>575</v>
      </c>
      <c r="AG21" s="6">
        <f>AG24+AG27+AG30+AG33+AG36+AG39</f>
        <v>153</v>
      </c>
      <c r="AH21" s="6">
        <f t="shared" si="20"/>
        <v>4334</v>
      </c>
      <c r="AI21" s="1"/>
      <c r="AJ21" s="18" t="s">
        <v>19</v>
      </c>
      <c r="AK21" s="27"/>
      <c r="AL21" s="6"/>
      <c r="AM21" s="6">
        <f t="shared" si="21"/>
        <v>0</v>
      </c>
      <c r="AN21" s="6"/>
      <c r="AO21" s="6"/>
      <c r="AP21" s="6"/>
      <c r="AQ21" s="6"/>
      <c r="AZ21" s="20"/>
      <c r="BA21" s="114"/>
      <c r="BB21" s="1"/>
      <c r="BC21" s="1"/>
      <c r="BD21" s="1"/>
      <c r="BE21" s="1"/>
      <c r="BF21" s="1"/>
      <c r="BG21" s="1"/>
    </row>
    <row r="22" spans="1:59">
      <c r="A22" s="244" t="s">
        <v>20</v>
      </c>
      <c r="B22" s="26">
        <f t="shared" ref="B22:H22" si="22">B21/B20*100</f>
        <v>48.613319201554503</v>
      </c>
      <c r="C22" s="26">
        <f t="shared" si="22"/>
        <v>47.560975609756099</v>
      </c>
      <c r="D22" s="26">
        <f t="shared" si="22"/>
        <v>51.228619609732597</v>
      </c>
      <c r="E22" s="26">
        <f t="shared" si="22"/>
        <v>75.034239874779885</v>
      </c>
      <c r="F22" s="26">
        <f t="shared" si="22"/>
        <v>27.138569284642323</v>
      </c>
      <c r="G22" s="26">
        <f t="shared" si="22"/>
        <v>22.465753424657535</v>
      </c>
      <c r="H22" s="26">
        <f t="shared" si="22"/>
        <v>51.646034553122021</v>
      </c>
      <c r="I22" s="203"/>
      <c r="J22" s="244" t="s">
        <v>20</v>
      </c>
      <c r="K22" s="26">
        <f t="shared" ref="K22:Q22" si="23">K21/K20*100</f>
        <v>43.693530899891577</v>
      </c>
      <c r="L22" s="26">
        <f t="shared" si="23"/>
        <v>42.585327579442918</v>
      </c>
      <c r="M22" s="26">
        <f t="shared" si="23"/>
        <v>44.373673036093422</v>
      </c>
      <c r="N22" s="26">
        <f t="shared" si="23"/>
        <v>177.04280155642022</v>
      </c>
      <c r="O22" s="26">
        <f t="shared" si="23"/>
        <v>27.019796682718034</v>
      </c>
      <c r="P22" s="26">
        <f t="shared" si="23"/>
        <v>5.1122194513715709</v>
      </c>
      <c r="Q22" s="26">
        <f t="shared" si="23"/>
        <v>49.747747747747752</v>
      </c>
      <c r="R22" s="244" t="s">
        <v>20</v>
      </c>
      <c r="S22" s="26">
        <f t="shared" ref="S22:Y22" si="24">S21/S20*100</f>
        <v>54.311862020415361</v>
      </c>
      <c r="T22" s="26">
        <f t="shared" si="24"/>
        <v>50.991028583350719</v>
      </c>
      <c r="U22" s="26">
        <f t="shared" si="24"/>
        <v>55.664171255336257</v>
      </c>
      <c r="V22" s="26">
        <f t="shared" si="24"/>
        <v>70.490093847758089</v>
      </c>
      <c r="W22" s="26">
        <f t="shared" si="24"/>
        <v>28.210116731517509</v>
      </c>
      <c r="X22" s="26">
        <f t="shared" si="24"/>
        <v>71.428571428571431</v>
      </c>
      <c r="Y22" s="26">
        <f t="shared" si="24"/>
        <v>53.54016620498615</v>
      </c>
      <c r="Z22" s="113"/>
      <c r="AA22" s="244" t="s">
        <v>20</v>
      </c>
      <c r="AB22" s="26">
        <f t="shared" ref="AB22:AH22" si="25">AB21/AB20*100</f>
        <v>57.119741100323616</v>
      </c>
      <c r="AC22" s="26">
        <f t="shared" si="25"/>
        <v>52.152967764957772</v>
      </c>
      <c r="AD22" s="26">
        <f t="shared" si="25"/>
        <v>59.388708079807564</v>
      </c>
      <c r="AE22" s="26">
        <f t="shared" si="25"/>
        <v>70.103092783505147</v>
      </c>
      <c r="AF22" s="26">
        <f t="shared" si="25"/>
        <v>38.410153640614567</v>
      </c>
      <c r="AG22" s="26">
        <f t="shared" si="25"/>
        <v>956.25</v>
      </c>
      <c r="AH22" s="26">
        <f t="shared" si="25"/>
        <v>55.069885641677253</v>
      </c>
      <c r="AI22" s="113"/>
      <c r="AJ22" s="244" t="s">
        <v>20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>
        <f>AO21/AO20*100</f>
        <v>0</v>
      </c>
      <c r="AP22" s="26">
        <f>AP21/AP20*100</f>
        <v>0</v>
      </c>
      <c r="AQ22" s="26">
        <f>AQ21/AQ20*100</f>
        <v>0</v>
      </c>
      <c r="AZ22" s="14"/>
      <c r="BA22" s="113"/>
      <c r="BB22" s="113"/>
      <c r="BC22" s="113"/>
      <c r="BD22" s="113"/>
      <c r="BE22" s="113"/>
      <c r="BF22" s="113"/>
      <c r="BG22" s="113"/>
    </row>
    <row r="23" spans="1:59">
      <c r="A23" s="6" t="s">
        <v>21</v>
      </c>
      <c r="B23" s="27">
        <f>K23+S23+AK23</f>
        <v>352.3</v>
      </c>
      <c r="C23" s="6">
        <f>L23+T23+AL23</f>
        <v>22066</v>
      </c>
      <c r="D23" s="6">
        <f>E23+F23+G23+H23</f>
        <v>18462</v>
      </c>
      <c r="E23" s="6">
        <f t="shared" ref="E23:H24" si="26">N23+V23+AN23</f>
        <v>4973</v>
      </c>
      <c r="F23" s="6">
        <f t="shared" si="26"/>
        <v>2371</v>
      </c>
      <c r="G23" s="6">
        <f t="shared" si="26"/>
        <v>346</v>
      </c>
      <c r="H23" s="6">
        <f t="shared" si="26"/>
        <v>10772</v>
      </c>
      <c r="I23" s="203"/>
      <c r="J23" s="6" t="s">
        <v>21</v>
      </c>
      <c r="K23" s="27">
        <v>133.30000000000001</v>
      </c>
      <c r="L23" s="6">
        <v>6031</v>
      </c>
      <c r="M23" s="6">
        <v>5002</v>
      </c>
      <c r="N23" s="6">
        <v>238</v>
      </c>
      <c r="O23" s="6">
        <v>1105</v>
      </c>
      <c r="P23" s="6">
        <v>332</v>
      </c>
      <c r="Q23" s="6">
        <v>3327</v>
      </c>
      <c r="R23" s="6" t="s">
        <v>21</v>
      </c>
      <c r="S23" s="27">
        <v>216</v>
      </c>
      <c r="T23" s="6">
        <v>15791</v>
      </c>
      <c r="U23" s="6">
        <v>13256</v>
      </c>
      <c r="V23" s="6">
        <v>4679</v>
      </c>
      <c r="W23" s="6">
        <v>1212</v>
      </c>
      <c r="X23" s="6">
        <v>9</v>
      </c>
      <c r="Y23" s="6">
        <v>7356</v>
      </c>
      <c r="Z23" s="1"/>
      <c r="AA23" s="6" t="s">
        <v>21</v>
      </c>
      <c r="AB23" s="27">
        <v>210.9</v>
      </c>
      <c r="AC23" s="6">
        <v>15508</v>
      </c>
      <c r="AD23" s="6">
        <v>13023</v>
      </c>
      <c r="AE23" s="6">
        <v>4655</v>
      </c>
      <c r="AF23" s="6">
        <v>1148</v>
      </c>
      <c r="AG23" s="6">
        <v>0</v>
      </c>
      <c r="AH23" s="6">
        <v>7220</v>
      </c>
      <c r="AI23" s="1"/>
      <c r="AJ23" s="6" t="s">
        <v>21</v>
      </c>
      <c r="AK23" s="27">
        <v>3</v>
      </c>
      <c r="AL23" s="6">
        <v>244</v>
      </c>
      <c r="AM23" s="6">
        <v>204</v>
      </c>
      <c r="AN23" s="6">
        <v>56</v>
      </c>
      <c r="AO23" s="6">
        <v>54</v>
      </c>
      <c r="AP23" s="6">
        <v>5</v>
      </c>
      <c r="AQ23" s="6">
        <v>89</v>
      </c>
      <c r="AZ23" s="1"/>
      <c r="BA23" s="114"/>
      <c r="BB23" s="1"/>
      <c r="BC23" s="1"/>
      <c r="BD23" s="1"/>
      <c r="BE23" s="1"/>
      <c r="BF23" s="1"/>
      <c r="BG23" s="1"/>
    </row>
    <row r="24" spans="1:59">
      <c r="A24" s="6" t="s">
        <v>22</v>
      </c>
      <c r="B24" s="27">
        <f>K24+S24+AK24</f>
        <v>230</v>
      </c>
      <c r="C24" s="6">
        <f>L24+T24+AL24</f>
        <v>11757</v>
      </c>
      <c r="D24" s="6">
        <f>E24+F24+G24+H24</f>
        <v>10727</v>
      </c>
      <c r="E24" s="6">
        <f t="shared" si="26"/>
        <v>3455</v>
      </c>
      <c r="F24" s="6">
        <f t="shared" si="26"/>
        <v>737</v>
      </c>
      <c r="G24" s="6">
        <f t="shared" si="26"/>
        <v>201</v>
      </c>
      <c r="H24" s="6">
        <f t="shared" si="26"/>
        <v>6334</v>
      </c>
      <c r="I24" s="203"/>
      <c r="J24" s="6" t="s">
        <v>22</v>
      </c>
      <c r="K24" s="6">
        <v>87.4</v>
      </c>
      <c r="L24" s="6">
        <v>2958</v>
      </c>
      <c r="M24" s="6">
        <f>N24+O24+P24+Q24</f>
        <v>2596</v>
      </c>
      <c r="N24" s="6">
        <v>114</v>
      </c>
      <c r="O24" s="6">
        <v>397</v>
      </c>
      <c r="P24" s="6">
        <v>39</v>
      </c>
      <c r="Q24" s="6">
        <v>2046</v>
      </c>
      <c r="R24" s="6" t="s">
        <v>22</v>
      </c>
      <c r="S24" s="27">
        <v>142.6</v>
      </c>
      <c r="T24" s="6">
        <v>8799</v>
      </c>
      <c r="U24" s="6">
        <f>V24+W24+X24+Y24</f>
        <v>8131</v>
      </c>
      <c r="V24" s="6">
        <v>3341</v>
      </c>
      <c r="W24" s="6">
        <v>340</v>
      </c>
      <c r="X24" s="6">
        <v>162</v>
      </c>
      <c r="Y24" s="6">
        <v>4288</v>
      </c>
      <c r="Z24" s="1"/>
      <c r="AA24" s="6" t="s">
        <v>22</v>
      </c>
      <c r="AB24" s="27">
        <v>137.4</v>
      </c>
      <c r="AC24" s="6">
        <v>8539</v>
      </c>
      <c r="AD24" s="6">
        <f>AE24+AF24+AG24+AH24</f>
        <v>8156</v>
      </c>
      <c r="AE24" s="6">
        <v>3316</v>
      </c>
      <c r="AF24" s="6">
        <v>525</v>
      </c>
      <c r="AG24" s="6">
        <v>152</v>
      </c>
      <c r="AH24" s="6">
        <v>4163</v>
      </c>
      <c r="AI24" s="1"/>
      <c r="AJ24" s="6" t="s">
        <v>22</v>
      </c>
      <c r="AK24" s="27"/>
      <c r="AL24" s="6"/>
      <c r="AM24" s="6">
        <f>AN24+AO24+AP24+AQ24</f>
        <v>0</v>
      </c>
      <c r="AN24" s="6"/>
      <c r="AO24" s="6"/>
      <c r="AP24" s="6"/>
      <c r="AQ24" s="6"/>
      <c r="AZ24" s="1"/>
      <c r="BA24" s="114"/>
      <c r="BB24" s="1"/>
      <c r="BC24" s="1"/>
      <c r="BD24" s="1"/>
      <c r="BE24" s="1"/>
      <c r="BF24" s="1"/>
      <c r="BG24" s="1"/>
    </row>
    <row r="25" spans="1:59">
      <c r="A25" s="6" t="s">
        <v>12</v>
      </c>
      <c r="B25" s="26">
        <f t="shared" ref="B25:H25" si="27">B24/B23*100</f>
        <v>65.285268237297757</v>
      </c>
      <c r="C25" s="26">
        <f t="shared" si="27"/>
        <v>53.28106589322941</v>
      </c>
      <c r="D25" s="26">
        <f t="shared" si="27"/>
        <v>58.103130755064456</v>
      </c>
      <c r="E25" s="26">
        <f t="shared" si="27"/>
        <v>69.47516589583752</v>
      </c>
      <c r="F25" s="26">
        <f t="shared" si="27"/>
        <v>31.083930830873047</v>
      </c>
      <c r="G25" s="26">
        <f t="shared" si="27"/>
        <v>58.092485549132945</v>
      </c>
      <c r="H25" s="26">
        <f t="shared" si="27"/>
        <v>58.800594132937242</v>
      </c>
      <c r="I25" s="203"/>
      <c r="J25" s="6" t="s">
        <v>12</v>
      </c>
      <c r="K25" s="26">
        <f t="shared" ref="K25:Q25" si="28">K24/K23*100</f>
        <v>65.566391597899482</v>
      </c>
      <c r="L25" s="26">
        <f t="shared" si="28"/>
        <v>49.04659260487481</v>
      </c>
      <c r="M25" s="26">
        <f t="shared" si="28"/>
        <v>51.899240303878443</v>
      </c>
      <c r="N25" s="26">
        <f t="shared" si="28"/>
        <v>47.899159663865547</v>
      </c>
      <c r="O25" s="26">
        <f t="shared" si="28"/>
        <v>35.927601809954751</v>
      </c>
      <c r="P25" s="26">
        <f t="shared" si="28"/>
        <v>11.746987951807229</v>
      </c>
      <c r="Q25" s="26">
        <f t="shared" si="28"/>
        <v>61.496844003606853</v>
      </c>
      <c r="R25" s="6" t="s">
        <v>12</v>
      </c>
      <c r="S25" s="26">
        <f t="shared" ref="S25:Y25" si="29">S24/S23*100</f>
        <v>66.018518518518519</v>
      </c>
      <c r="T25" s="26">
        <f t="shared" si="29"/>
        <v>55.721613577354191</v>
      </c>
      <c r="U25" s="26">
        <f t="shared" si="29"/>
        <v>61.338261919130957</v>
      </c>
      <c r="V25" s="26">
        <f t="shared" si="29"/>
        <v>71.404146185082283</v>
      </c>
      <c r="W25" s="26">
        <f t="shared" si="29"/>
        <v>28.052805280528055</v>
      </c>
      <c r="X25" s="26">
        <f t="shared" si="29"/>
        <v>1800</v>
      </c>
      <c r="Y25" s="26">
        <f t="shared" si="29"/>
        <v>58.292550299075586</v>
      </c>
      <c r="Z25" s="113"/>
      <c r="AA25" s="6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>
        <f>AK24/AK23*100</f>
        <v>0</v>
      </c>
      <c r="AL25" s="26">
        <f>AL24/AL23*100</f>
        <v>0</v>
      </c>
      <c r="AM25" s="26">
        <f>AM24/AM23*100</f>
        <v>0</v>
      </c>
      <c r="AN25" s="26">
        <v>0</v>
      </c>
      <c r="AO25" s="26">
        <f>AO24/AO23*100</f>
        <v>0</v>
      </c>
      <c r="AP25" s="26">
        <f>AP24/AP23*100</f>
        <v>0</v>
      </c>
      <c r="AQ25" s="26">
        <f>AQ24/AQ23*100</f>
        <v>0</v>
      </c>
      <c r="AZ25" s="1"/>
      <c r="BA25" s="113"/>
      <c r="BB25" s="113"/>
      <c r="BC25" s="113"/>
      <c r="BD25" s="113"/>
      <c r="BE25" s="113"/>
      <c r="BF25" s="113"/>
      <c r="BG25" s="113"/>
    </row>
    <row r="26" spans="1:59">
      <c r="A26" s="6" t="s">
        <v>23</v>
      </c>
      <c r="B26" s="27">
        <f>K26+S26+AK26</f>
        <v>49.300000000000004</v>
      </c>
      <c r="C26" s="6">
        <f>L26+T26+AL26</f>
        <v>1416</v>
      </c>
      <c r="D26" s="6">
        <f>E26+F26+G26+H26</f>
        <v>1218</v>
      </c>
      <c r="E26" s="6">
        <f t="shared" ref="E26:H27" si="30">N26+V26+AN26</f>
        <v>85</v>
      </c>
      <c r="F26" s="6">
        <f t="shared" si="30"/>
        <v>286</v>
      </c>
      <c r="G26" s="6">
        <f t="shared" si="30"/>
        <v>28</v>
      </c>
      <c r="H26" s="6">
        <f t="shared" si="30"/>
        <v>819</v>
      </c>
      <c r="I26" s="203"/>
      <c r="J26" s="6" t="s">
        <v>23</v>
      </c>
      <c r="K26" s="27">
        <v>25.2</v>
      </c>
      <c r="L26" s="6">
        <v>600</v>
      </c>
      <c r="M26" s="6">
        <v>517</v>
      </c>
      <c r="N26" s="6">
        <v>10</v>
      </c>
      <c r="O26" s="6">
        <v>127</v>
      </c>
      <c r="P26" s="6">
        <v>18</v>
      </c>
      <c r="Q26" s="6">
        <v>362</v>
      </c>
      <c r="R26" s="6" t="s">
        <v>23</v>
      </c>
      <c r="S26" s="27">
        <v>23.700000000000003</v>
      </c>
      <c r="T26" s="6">
        <v>782</v>
      </c>
      <c r="U26" s="6">
        <v>672</v>
      </c>
      <c r="V26" s="6">
        <v>72</v>
      </c>
      <c r="W26" s="6">
        <v>153</v>
      </c>
      <c r="X26" s="6">
        <v>9</v>
      </c>
      <c r="Y26" s="6">
        <v>438</v>
      </c>
      <c r="Z26" s="1"/>
      <c r="AA26" s="6" t="s">
        <v>23</v>
      </c>
      <c r="AB26" s="27">
        <v>18.100000000000001</v>
      </c>
      <c r="AC26" s="6">
        <v>552</v>
      </c>
      <c r="AD26" s="6">
        <v>474</v>
      </c>
      <c r="AE26" s="6">
        <v>61</v>
      </c>
      <c r="AF26" s="6">
        <v>101</v>
      </c>
      <c r="AG26" s="6">
        <v>5</v>
      </c>
      <c r="AH26" s="6">
        <v>307</v>
      </c>
      <c r="AI26" s="1"/>
      <c r="AJ26" s="6" t="s">
        <v>23</v>
      </c>
      <c r="AK26" s="6">
        <v>0.4</v>
      </c>
      <c r="AL26" s="6">
        <v>34</v>
      </c>
      <c r="AM26" s="6">
        <v>29</v>
      </c>
      <c r="AN26" s="6">
        <v>3</v>
      </c>
      <c r="AO26" s="6">
        <v>6</v>
      </c>
      <c r="AP26" s="6">
        <v>1</v>
      </c>
      <c r="AQ26" s="6">
        <v>19</v>
      </c>
      <c r="AZ26" s="1"/>
      <c r="BA26" s="1"/>
      <c r="BB26" s="1"/>
      <c r="BC26" s="1"/>
      <c r="BD26" s="1"/>
      <c r="BE26" s="1"/>
      <c r="BF26" s="1"/>
      <c r="BG26" s="1"/>
    </row>
    <row r="27" spans="1:59">
      <c r="A27" s="6" t="s">
        <v>24</v>
      </c>
      <c r="B27" s="6">
        <f>K27+S27+AK27</f>
        <v>14.9</v>
      </c>
      <c r="C27" s="6">
        <f>L27+T27+AL27</f>
        <v>117</v>
      </c>
      <c r="D27" s="6">
        <f>E27+F27+G27+H27</f>
        <v>110</v>
      </c>
      <c r="E27" s="6">
        <f t="shared" si="30"/>
        <v>40</v>
      </c>
      <c r="F27" s="6">
        <f t="shared" si="30"/>
        <v>6</v>
      </c>
      <c r="G27" s="6">
        <f t="shared" si="30"/>
        <v>0</v>
      </c>
      <c r="H27" s="6">
        <f t="shared" si="30"/>
        <v>64</v>
      </c>
      <c r="I27" s="203"/>
      <c r="J27" s="6" t="s">
        <v>24</v>
      </c>
      <c r="K27" s="27">
        <v>14.9</v>
      </c>
      <c r="L27" s="6">
        <v>112</v>
      </c>
      <c r="M27" s="6">
        <f>N27+O27+P27+Q27</f>
        <v>105</v>
      </c>
      <c r="N27" s="6">
        <v>37</v>
      </c>
      <c r="O27" s="6">
        <v>6</v>
      </c>
      <c r="P27" s="6"/>
      <c r="Q27" s="6">
        <v>62</v>
      </c>
      <c r="R27" s="6" t="s">
        <v>24</v>
      </c>
      <c r="S27" s="27"/>
      <c r="T27" s="6">
        <v>5</v>
      </c>
      <c r="U27" s="6">
        <f>V27+W27+X27+Y27</f>
        <v>5</v>
      </c>
      <c r="V27" s="6">
        <v>3</v>
      </c>
      <c r="W27" s="6"/>
      <c r="X27" s="6"/>
      <c r="Y27" s="6">
        <v>2</v>
      </c>
      <c r="Z27" s="1"/>
      <c r="AA27" s="6" t="s">
        <v>24</v>
      </c>
      <c r="AB27" s="27">
        <v>0.1</v>
      </c>
      <c r="AC27" s="6">
        <v>5</v>
      </c>
      <c r="AD27" s="6">
        <f>AE27+AF27+AG27+AH27</f>
        <v>5</v>
      </c>
      <c r="AE27" s="6">
        <v>3</v>
      </c>
      <c r="AF27" s="6"/>
      <c r="AG27" s="6"/>
      <c r="AH27" s="6">
        <v>2</v>
      </c>
      <c r="AI27" s="1"/>
      <c r="AJ27" s="6" t="s">
        <v>24</v>
      </c>
      <c r="AK27" s="27"/>
      <c r="AL27" s="6"/>
      <c r="AM27" s="6">
        <f>AN27+AO27+AP27+AQ27</f>
        <v>0</v>
      </c>
      <c r="AN27" s="6"/>
      <c r="AO27" s="6"/>
      <c r="AP27" s="6"/>
      <c r="AQ27" s="6"/>
      <c r="AZ27" s="1"/>
      <c r="BA27" s="114"/>
      <c r="BB27" s="1"/>
      <c r="BC27" s="1"/>
      <c r="BD27" s="1"/>
      <c r="BE27" s="1"/>
      <c r="BF27" s="1"/>
      <c r="BG27" s="1"/>
    </row>
    <row r="28" spans="1:59">
      <c r="A28" s="6" t="s">
        <v>12</v>
      </c>
      <c r="B28" s="26">
        <f t="shared" ref="B28:H28" si="31">B27/B26*100</f>
        <v>30.223123732251516</v>
      </c>
      <c r="C28" s="26">
        <f t="shared" si="31"/>
        <v>8.2627118644067803</v>
      </c>
      <c r="D28" s="26">
        <f t="shared" si="31"/>
        <v>9.0311986863711002</v>
      </c>
      <c r="E28" s="26">
        <f t="shared" si="31"/>
        <v>47.058823529411761</v>
      </c>
      <c r="F28" s="26">
        <f t="shared" si="31"/>
        <v>2.0979020979020979</v>
      </c>
      <c r="G28" s="26">
        <f t="shared" si="31"/>
        <v>0</v>
      </c>
      <c r="H28" s="26">
        <f t="shared" si="31"/>
        <v>7.8144078144078142</v>
      </c>
      <c r="I28" s="203"/>
      <c r="J28" s="6" t="s">
        <v>12</v>
      </c>
      <c r="K28" s="26">
        <f t="shared" ref="K28:Q28" si="32">K27/K26*100</f>
        <v>59.126984126984127</v>
      </c>
      <c r="L28" s="26">
        <f t="shared" si="32"/>
        <v>18.666666666666668</v>
      </c>
      <c r="M28" s="26">
        <f t="shared" si="32"/>
        <v>20.309477756286267</v>
      </c>
      <c r="N28" s="26">
        <f t="shared" si="32"/>
        <v>370</v>
      </c>
      <c r="O28" s="26">
        <f t="shared" si="32"/>
        <v>4.7244094488188972</v>
      </c>
      <c r="P28" s="26">
        <f t="shared" si="32"/>
        <v>0</v>
      </c>
      <c r="Q28" s="26">
        <f t="shared" si="32"/>
        <v>17.127071823204421</v>
      </c>
      <c r="R28" s="6" t="s">
        <v>12</v>
      </c>
      <c r="S28" s="26">
        <f t="shared" ref="S28:Y28" si="33">S27/S26*100</f>
        <v>0</v>
      </c>
      <c r="T28" s="26">
        <f t="shared" si="33"/>
        <v>0.63938618925831203</v>
      </c>
      <c r="U28" s="26">
        <f t="shared" si="33"/>
        <v>0.74404761904761896</v>
      </c>
      <c r="V28" s="26">
        <f t="shared" si="33"/>
        <v>4.1666666666666661</v>
      </c>
      <c r="W28" s="26">
        <f t="shared" si="33"/>
        <v>0</v>
      </c>
      <c r="X28" s="26">
        <f t="shared" si="33"/>
        <v>0</v>
      </c>
      <c r="Y28" s="26">
        <f t="shared" si="33"/>
        <v>0.45662100456621002</v>
      </c>
      <c r="Z28" s="113"/>
      <c r="AA28" s="6" t="s">
        <v>12</v>
      </c>
      <c r="AB28" s="26"/>
      <c r="AC28" s="26"/>
      <c r="AD28" s="26"/>
      <c r="AE28" s="26"/>
      <c r="AF28" s="26"/>
      <c r="AG28" s="26"/>
      <c r="AH28" s="26"/>
      <c r="AI28" s="113"/>
      <c r="AJ28" s="6" t="s">
        <v>12</v>
      </c>
      <c r="AK28" s="26">
        <f>AK27/AK26*100</f>
        <v>0</v>
      </c>
      <c r="AL28" s="26">
        <f>AL27/AL26*100</f>
        <v>0</v>
      </c>
      <c r="AM28" s="26">
        <f>AM27/AM26*100</f>
        <v>0</v>
      </c>
      <c r="AN28" s="26">
        <v>0</v>
      </c>
      <c r="AO28" s="26">
        <f>AO27/AO26*100</f>
        <v>0</v>
      </c>
      <c r="AP28" s="26">
        <f>AP27/AP26*100</f>
        <v>0</v>
      </c>
      <c r="AQ28" s="26">
        <f>AQ27/AQ26*100</f>
        <v>0</v>
      </c>
      <c r="AZ28" s="1"/>
      <c r="BA28" s="113"/>
      <c r="BB28" s="113"/>
      <c r="BC28" s="113"/>
      <c r="BD28" s="113"/>
      <c r="BE28" s="113"/>
      <c r="BF28" s="113"/>
      <c r="BG28" s="113"/>
    </row>
    <row r="29" spans="1:59">
      <c r="A29" s="6" t="s">
        <v>25</v>
      </c>
      <c r="B29" s="6">
        <f>K29+S29+AK29</f>
        <v>7.2000000000000011</v>
      </c>
      <c r="C29" s="6">
        <f>L29+T29+AL29</f>
        <v>231</v>
      </c>
      <c r="D29" s="6">
        <f>E29+F29+G29+H29</f>
        <v>195</v>
      </c>
      <c r="E29" s="6">
        <f t="shared" ref="E29:H30" si="34">N29+V29+AN29</f>
        <v>13</v>
      </c>
      <c r="F29" s="6">
        <f t="shared" si="34"/>
        <v>49</v>
      </c>
      <c r="G29" s="6">
        <f t="shared" si="34"/>
        <v>4</v>
      </c>
      <c r="H29" s="6">
        <f t="shared" si="34"/>
        <v>129</v>
      </c>
      <c r="I29" s="203"/>
      <c r="J29" s="6" t="s">
        <v>25</v>
      </c>
      <c r="K29" s="27">
        <v>2.1</v>
      </c>
      <c r="L29" s="6">
        <v>55</v>
      </c>
      <c r="M29" s="6">
        <v>48</v>
      </c>
      <c r="N29" s="6">
        <v>0</v>
      </c>
      <c r="O29" s="6">
        <v>13</v>
      </c>
      <c r="P29" s="6">
        <v>1</v>
      </c>
      <c r="Q29" s="6">
        <v>34</v>
      </c>
      <c r="R29" s="6" t="s">
        <v>25</v>
      </c>
      <c r="S29" s="6">
        <v>5.1000000000000005</v>
      </c>
      <c r="T29" s="6">
        <v>176</v>
      </c>
      <c r="U29" s="6">
        <v>147</v>
      </c>
      <c r="V29" s="6">
        <v>13</v>
      </c>
      <c r="W29" s="6">
        <v>36</v>
      </c>
      <c r="X29" s="6">
        <v>3</v>
      </c>
      <c r="Y29" s="6">
        <v>95</v>
      </c>
      <c r="Z29" s="1"/>
      <c r="AA29" s="6" t="s">
        <v>25</v>
      </c>
      <c r="AB29" s="6">
        <v>4.2</v>
      </c>
      <c r="AC29" s="6">
        <v>125</v>
      </c>
      <c r="AD29" s="6">
        <v>103</v>
      </c>
      <c r="AE29" s="6">
        <v>12</v>
      </c>
      <c r="AF29" s="6">
        <v>24</v>
      </c>
      <c r="AG29" s="6">
        <v>2</v>
      </c>
      <c r="AH29" s="6">
        <v>65</v>
      </c>
      <c r="AI29" s="1"/>
      <c r="AJ29" s="6" t="s">
        <v>25</v>
      </c>
      <c r="AK29" s="6"/>
      <c r="AL29" s="6"/>
      <c r="AM29" s="6"/>
      <c r="AN29" s="6"/>
      <c r="AO29" s="6"/>
      <c r="AP29" s="6"/>
      <c r="AQ29" s="6"/>
      <c r="AZ29" s="1"/>
      <c r="BA29" s="1"/>
      <c r="BB29" s="1"/>
      <c r="BC29" s="1"/>
      <c r="BD29" s="1"/>
      <c r="BE29" s="1"/>
      <c r="BF29" s="1"/>
      <c r="BG29" s="1"/>
    </row>
    <row r="30" spans="1:59">
      <c r="A30" s="6" t="s">
        <v>26</v>
      </c>
      <c r="B30" s="6">
        <f>K30+S30+AK30</f>
        <v>0</v>
      </c>
      <c r="C30" s="6">
        <f>L30+T30+AL30</f>
        <v>6</v>
      </c>
      <c r="D30" s="6">
        <f>E30+F30+G30+H30</f>
        <v>6</v>
      </c>
      <c r="E30" s="6">
        <f t="shared" si="34"/>
        <v>0</v>
      </c>
      <c r="F30" s="6">
        <f t="shared" si="34"/>
        <v>0</v>
      </c>
      <c r="G30" s="6">
        <f t="shared" si="34"/>
        <v>0</v>
      </c>
      <c r="H30" s="6">
        <f t="shared" si="34"/>
        <v>6</v>
      </c>
      <c r="I30" s="203"/>
      <c r="J30" s="6" t="s">
        <v>26</v>
      </c>
      <c r="K30" s="6"/>
      <c r="L30" s="6">
        <v>6</v>
      </c>
      <c r="M30" s="6">
        <f>N30+O30+P30+Q30</f>
        <v>6</v>
      </c>
      <c r="N30" s="6"/>
      <c r="O30" s="6"/>
      <c r="P30" s="6"/>
      <c r="Q30" s="6">
        <v>6</v>
      </c>
      <c r="R30" s="6" t="s">
        <v>26</v>
      </c>
      <c r="S30" s="27"/>
      <c r="T30" s="6"/>
      <c r="U30" s="6">
        <f>V30+W30+X30+Y30</f>
        <v>0</v>
      </c>
      <c r="V30" s="6"/>
      <c r="W30" s="6"/>
      <c r="X30" s="6"/>
      <c r="Y30" s="6"/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"/>
      <c r="BA30" s="1"/>
      <c r="BB30" s="1"/>
      <c r="BC30" s="1"/>
      <c r="BD30" s="1"/>
      <c r="BE30" s="1"/>
      <c r="BF30" s="1"/>
      <c r="BG30" s="1"/>
    </row>
    <row r="31" spans="1:59">
      <c r="A31" s="6" t="s">
        <v>12</v>
      </c>
      <c r="B31" s="26">
        <f t="shared" ref="B31:H31" si="35">B30/B29*100</f>
        <v>0</v>
      </c>
      <c r="C31" s="26">
        <f t="shared" si="35"/>
        <v>2.5974025974025974</v>
      </c>
      <c r="D31" s="26">
        <f t="shared" si="35"/>
        <v>3.0769230769230771</v>
      </c>
      <c r="E31" s="26">
        <f t="shared" si="35"/>
        <v>0</v>
      </c>
      <c r="F31" s="26">
        <f t="shared" si="35"/>
        <v>0</v>
      </c>
      <c r="G31" s="26">
        <f t="shared" si="35"/>
        <v>0</v>
      </c>
      <c r="H31" s="26">
        <f t="shared" si="35"/>
        <v>4.6511627906976747</v>
      </c>
      <c r="I31" s="203"/>
      <c r="J31" s="6" t="s">
        <v>12</v>
      </c>
      <c r="K31" s="26">
        <f t="shared" ref="K31:Q31" si="36">K30/K29*100</f>
        <v>0</v>
      </c>
      <c r="L31" s="26">
        <f t="shared" si="36"/>
        <v>10.909090909090908</v>
      </c>
      <c r="M31" s="26">
        <f t="shared" si="36"/>
        <v>12.5</v>
      </c>
      <c r="N31" s="26">
        <v>0</v>
      </c>
      <c r="O31" s="26">
        <f t="shared" si="36"/>
        <v>0</v>
      </c>
      <c r="P31" s="26">
        <f t="shared" si="36"/>
        <v>0</v>
      </c>
      <c r="Q31" s="26">
        <f t="shared" si="36"/>
        <v>17.647058823529413</v>
      </c>
      <c r="R31" s="6" t="s">
        <v>12</v>
      </c>
      <c r="S31" s="26">
        <f t="shared" ref="S31:Y31" si="37">S30/S29*100</f>
        <v>0</v>
      </c>
      <c r="T31" s="26">
        <f t="shared" si="37"/>
        <v>0</v>
      </c>
      <c r="U31" s="26">
        <f t="shared" si="37"/>
        <v>0</v>
      </c>
      <c r="V31" s="26">
        <f t="shared" si="37"/>
        <v>0</v>
      </c>
      <c r="W31" s="26">
        <f t="shared" si="37"/>
        <v>0</v>
      </c>
      <c r="X31" s="26">
        <f t="shared" si="37"/>
        <v>0</v>
      </c>
      <c r="Y31" s="26">
        <f t="shared" si="37"/>
        <v>0</v>
      </c>
      <c r="Z31" s="113"/>
      <c r="AA31" s="6" t="s">
        <v>12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Z31" s="1"/>
      <c r="BA31" s="113"/>
      <c r="BB31" s="113"/>
      <c r="BC31" s="113"/>
      <c r="BD31" s="113"/>
      <c r="BE31" s="113"/>
      <c r="BF31" s="113"/>
      <c r="BG31" s="113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8">N32+V32+AN32</f>
        <v>0</v>
      </c>
      <c r="F32" s="6">
        <f t="shared" si="38"/>
        <v>0</v>
      </c>
      <c r="G32" s="6">
        <f t="shared" si="38"/>
        <v>0</v>
      </c>
      <c r="H32" s="6">
        <f t="shared" si="38"/>
        <v>0</v>
      </c>
      <c r="I32" s="203"/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"/>
      <c r="BA32" s="1"/>
      <c r="BB32" s="1"/>
      <c r="BC32" s="1"/>
      <c r="BD32" s="1"/>
      <c r="BE32" s="1"/>
      <c r="BF32" s="1"/>
      <c r="BG32" s="1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8"/>
        <v>0</v>
      </c>
      <c r="F33" s="6">
        <f t="shared" si="38"/>
        <v>0</v>
      </c>
      <c r="G33" s="6">
        <f t="shared" si="38"/>
        <v>0</v>
      </c>
      <c r="H33" s="6">
        <f t="shared" si="38"/>
        <v>0</v>
      </c>
      <c r="I33" s="203"/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"/>
      <c r="BA33" s="1"/>
      <c r="BB33" s="1"/>
      <c r="BC33" s="1"/>
      <c r="BD33" s="1"/>
      <c r="BE33" s="1"/>
      <c r="BF33" s="1"/>
      <c r="BG33" s="1"/>
    </row>
    <row r="34" spans="1:59">
      <c r="A34" s="6" t="s">
        <v>12</v>
      </c>
      <c r="B34" s="26" t="e">
        <f t="shared" ref="B34:H34" si="39">B33/B32*100</f>
        <v>#DIV/0!</v>
      </c>
      <c r="C34" s="26" t="e">
        <f t="shared" si="39"/>
        <v>#DIV/0!</v>
      </c>
      <c r="D34" s="26" t="e">
        <f t="shared" si="39"/>
        <v>#DIV/0!</v>
      </c>
      <c r="E34" s="26" t="e">
        <f t="shared" si="39"/>
        <v>#DIV/0!</v>
      </c>
      <c r="F34" s="26" t="e">
        <f t="shared" si="39"/>
        <v>#DIV/0!</v>
      </c>
      <c r="G34" s="26" t="e">
        <f t="shared" si="39"/>
        <v>#DIV/0!</v>
      </c>
      <c r="H34" s="26" t="e">
        <f t="shared" si="39"/>
        <v>#DIV/0!</v>
      </c>
      <c r="I34" s="203"/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113"/>
      <c r="AA34" s="6" t="s">
        <v>12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Z34" s="1"/>
      <c r="BA34" s="113"/>
      <c r="BB34" s="113"/>
      <c r="BC34" s="113"/>
      <c r="BD34" s="113"/>
      <c r="BE34" s="113"/>
      <c r="BF34" s="113"/>
      <c r="BG34" s="113"/>
    </row>
    <row r="35" spans="1:59">
      <c r="A35" s="6" t="s">
        <v>29</v>
      </c>
      <c r="B35" s="27">
        <f>K35+S35+AK35</f>
        <v>21.3</v>
      </c>
      <c r="C35" s="6">
        <f>L35+T35+AL35</f>
        <v>1587</v>
      </c>
      <c r="D35" s="6">
        <f>E35+F35+G35+H35</f>
        <v>1382</v>
      </c>
      <c r="E35" s="6">
        <f t="shared" ref="E35:H36" si="40">N35+V35+AN35</f>
        <v>0</v>
      </c>
      <c r="F35" s="6">
        <f t="shared" si="40"/>
        <v>365</v>
      </c>
      <c r="G35" s="6">
        <f t="shared" si="40"/>
        <v>254</v>
      </c>
      <c r="H35" s="6">
        <f t="shared" si="40"/>
        <v>763</v>
      </c>
      <c r="I35" s="203"/>
      <c r="J35" s="6" t="s">
        <v>29</v>
      </c>
      <c r="K35" s="6">
        <v>0.9</v>
      </c>
      <c r="L35" s="6">
        <v>20</v>
      </c>
      <c r="M35" s="6">
        <v>18</v>
      </c>
      <c r="N35" s="6">
        <v>0</v>
      </c>
      <c r="O35" s="6">
        <v>4</v>
      </c>
      <c r="P35" s="6">
        <v>3</v>
      </c>
      <c r="Q35" s="6">
        <v>11</v>
      </c>
      <c r="R35" s="6" t="s">
        <v>29</v>
      </c>
      <c r="S35" s="27">
        <v>20.400000000000002</v>
      </c>
      <c r="T35" s="6">
        <v>1567</v>
      </c>
      <c r="U35" s="6">
        <v>1364</v>
      </c>
      <c r="V35" s="6">
        <v>0</v>
      </c>
      <c r="W35" s="6">
        <v>361</v>
      </c>
      <c r="X35" s="6">
        <v>251</v>
      </c>
      <c r="Y35" s="6">
        <v>752</v>
      </c>
      <c r="Z35" s="1"/>
      <c r="AA35" s="6" t="s">
        <v>29</v>
      </c>
      <c r="AB35" s="6">
        <v>0.6</v>
      </c>
      <c r="AC35" s="6">
        <v>32</v>
      </c>
      <c r="AD35" s="6">
        <v>28</v>
      </c>
      <c r="AE35" s="6">
        <v>0</v>
      </c>
      <c r="AF35" s="6">
        <v>8</v>
      </c>
      <c r="AG35" s="6">
        <v>5</v>
      </c>
      <c r="AH35" s="6">
        <v>16</v>
      </c>
      <c r="AI35" s="1"/>
      <c r="AJ35" s="6" t="s">
        <v>29</v>
      </c>
      <c r="AK35" s="6"/>
      <c r="AL35" s="6"/>
      <c r="AM35" s="6">
        <f>AN35+AO35+AP35+AQ35</f>
        <v>0</v>
      </c>
      <c r="AN35" s="6"/>
      <c r="AO35" s="6"/>
      <c r="AP35" s="6"/>
      <c r="AQ35" s="6"/>
      <c r="AZ35" s="1"/>
      <c r="BA35" s="1"/>
      <c r="BB35" s="1"/>
      <c r="BC35" s="1"/>
      <c r="BD35" s="1"/>
      <c r="BE35" s="1"/>
      <c r="BF35" s="1"/>
      <c r="BG35" s="1"/>
    </row>
    <row r="36" spans="1:59">
      <c r="A36" s="6" t="s">
        <v>30</v>
      </c>
      <c r="B36" s="6">
        <f>K36+S36+AK36</f>
        <v>3.8</v>
      </c>
      <c r="C36" s="6">
        <f>L36+T36+AL36</f>
        <v>357</v>
      </c>
      <c r="D36" s="6">
        <f>E36+F36+G36+H36</f>
        <v>323</v>
      </c>
      <c r="E36" s="6">
        <f t="shared" si="40"/>
        <v>3</v>
      </c>
      <c r="F36" s="6">
        <f t="shared" si="40"/>
        <v>75</v>
      </c>
      <c r="G36" s="6">
        <f t="shared" si="40"/>
        <v>32</v>
      </c>
      <c r="H36" s="6">
        <f t="shared" si="40"/>
        <v>213</v>
      </c>
      <c r="I36" s="203"/>
      <c r="J36" s="6" t="s">
        <v>30</v>
      </c>
      <c r="K36" s="6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27">
        <v>3.8</v>
      </c>
      <c r="T36" s="6">
        <v>357</v>
      </c>
      <c r="U36" s="6">
        <f>V36+W36+X36+Y36</f>
        <v>323</v>
      </c>
      <c r="V36" s="6">
        <v>3</v>
      </c>
      <c r="W36" s="6">
        <v>75</v>
      </c>
      <c r="X36" s="6">
        <v>32</v>
      </c>
      <c r="Y36" s="6">
        <v>213</v>
      </c>
      <c r="Z36" s="1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"/>
      <c r="BA36" s="1"/>
      <c r="BB36" s="1"/>
      <c r="BC36" s="1"/>
      <c r="BD36" s="1"/>
      <c r="BE36" s="1"/>
      <c r="BF36" s="1"/>
      <c r="BG36" s="1"/>
    </row>
    <row r="37" spans="1:59">
      <c r="A37" s="6" t="s">
        <v>12</v>
      </c>
      <c r="B37" s="26">
        <f t="shared" ref="B37:H37" si="41">B36/B35*100</f>
        <v>17.84037558685446</v>
      </c>
      <c r="C37" s="26">
        <f t="shared" si="41"/>
        <v>22.495274102079396</v>
      </c>
      <c r="D37" s="26">
        <f t="shared" si="41"/>
        <v>23.371924746743851</v>
      </c>
      <c r="E37" s="26" t="e">
        <f t="shared" si="41"/>
        <v>#DIV/0!</v>
      </c>
      <c r="F37" s="26">
        <f t="shared" si="41"/>
        <v>20.547945205479451</v>
      </c>
      <c r="G37" s="26">
        <f t="shared" si="41"/>
        <v>12.598425196850393</v>
      </c>
      <c r="H37" s="26">
        <f t="shared" si="41"/>
        <v>27.916120576671034</v>
      </c>
      <c r="I37" s="203"/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2">S36/S35*100</f>
        <v>18.627450980392155</v>
      </c>
      <c r="T37" s="26">
        <f t="shared" si="42"/>
        <v>22.782386726228463</v>
      </c>
      <c r="U37" s="26">
        <f t="shared" si="42"/>
        <v>23.680351906158357</v>
      </c>
      <c r="V37" s="26">
        <v>0</v>
      </c>
      <c r="W37" s="26">
        <f t="shared" si="42"/>
        <v>20.775623268698059</v>
      </c>
      <c r="X37" s="26">
        <f t="shared" si="42"/>
        <v>12.749003984063744</v>
      </c>
      <c r="Y37" s="26">
        <f t="shared" si="42"/>
        <v>28.324468085106385</v>
      </c>
      <c r="Z37" s="113"/>
      <c r="AA37" s="6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Z37" s="1"/>
      <c r="BA37" s="113"/>
      <c r="BB37" s="113"/>
      <c r="BC37" s="113"/>
      <c r="BD37" s="113"/>
      <c r="BE37" s="113"/>
      <c r="BF37" s="113"/>
      <c r="BG37" s="113"/>
    </row>
    <row r="38" spans="1:59">
      <c r="A38" s="6" t="s">
        <v>31</v>
      </c>
      <c r="B38" s="27">
        <f>K38+S38+AK38</f>
        <v>136</v>
      </c>
      <c r="C38" s="6">
        <f>L38+T38+AL38</f>
        <v>4384</v>
      </c>
      <c r="D38" s="6">
        <f>E38+F38+G38+H38</f>
        <v>3649</v>
      </c>
      <c r="E38" s="6">
        <f t="shared" ref="E38:H39" si="43">N38+V38+AN38</f>
        <v>40</v>
      </c>
      <c r="F38" s="6">
        <f t="shared" si="43"/>
        <v>927</v>
      </c>
      <c r="G38" s="6">
        <f t="shared" si="43"/>
        <v>463</v>
      </c>
      <c r="H38" s="6">
        <f t="shared" si="43"/>
        <v>2219</v>
      </c>
      <c r="I38" s="203"/>
      <c r="J38" s="6" t="s">
        <v>31</v>
      </c>
      <c r="K38" s="27">
        <v>115.2</v>
      </c>
      <c r="L38" s="6">
        <v>3490</v>
      </c>
      <c r="M38" s="6">
        <v>2893</v>
      </c>
      <c r="N38" s="6">
        <v>9</v>
      </c>
      <c r="O38" s="6">
        <v>620</v>
      </c>
      <c r="P38" s="6">
        <v>448</v>
      </c>
      <c r="Q38" s="6">
        <v>1816</v>
      </c>
      <c r="R38" s="6" t="s">
        <v>31</v>
      </c>
      <c r="S38" s="27">
        <v>18.899999999999999</v>
      </c>
      <c r="T38" s="6">
        <v>856</v>
      </c>
      <c r="U38" s="6">
        <v>724</v>
      </c>
      <c r="V38" s="6">
        <v>31</v>
      </c>
      <c r="W38" s="6">
        <v>294</v>
      </c>
      <c r="X38" s="6">
        <v>15</v>
      </c>
      <c r="Y38" s="6">
        <v>384</v>
      </c>
      <c r="Z38" s="1"/>
      <c r="AA38" s="6" t="s">
        <v>31</v>
      </c>
      <c r="AB38" s="27">
        <v>13.4</v>
      </c>
      <c r="AC38" s="6">
        <v>597</v>
      </c>
      <c r="AD38" s="6">
        <v>506</v>
      </c>
      <c r="AE38" s="6">
        <v>25</v>
      </c>
      <c r="AF38" s="6">
        <v>216</v>
      </c>
      <c r="AG38" s="6">
        <v>4</v>
      </c>
      <c r="AH38" s="6">
        <v>262</v>
      </c>
      <c r="AI38" s="1"/>
      <c r="AJ38" s="6" t="s">
        <v>31</v>
      </c>
      <c r="AK38" s="6">
        <v>1.9</v>
      </c>
      <c r="AL38" s="6">
        <v>38</v>
      </c>
      <c r="AM38" s="6">
        <v>32</v>
      </c>
      <c r="AN38" s="6">
        <v>0</v>
      </c>
      <c r="AO38" s="6">
        <v>13</v>
      </c>
      <c r="AP38" s="6">
        <v>0</v>
      </c>
      <c r="AQ38" s="6">
        <v>19</v>
      </c>
      <c r="AZ38" s="1"/>
      <c r="BA38" s="1"/>
      <c r="BB38" s="1"/>
      <c r="BC38" s="1"/>
      <c r="BD38" s="1"/>
      <c r="BE38" s="1"/>
      <c r="BF38" s="1"/>
      <c r="BG38" s="1"/>
    </row>
    <row r="39" spans="1:59">
      <c r="A39" s="6" t="s">
        <v>32</v>
      </c>
      <c r="B39" s="27">
        <f>K39+S39+AK39</f>
        <v>26.5</v>
      </c>
      <c r="C39" s="6">
        <f>L39+T39+AL39</f>
        <v>1881</v>
      </c>
      <c r="D39" s="6">
        <f>E39+F39+G39+H39</f>
        <v>1593</v>
      </c>
      <c r="E39" s="6">
        <f t="shared" si="43"/>
        <v>337</v>
      </c>
      <c r="F39" s="6">
        <f t="shared" si="43"/>
        <v>267</v>
      </c>
      <c r="G39" s="6">
        <f t="shared" si="43"/>
        <v>13</v>
      </c>
      <c r="H39" s="6">
        <f t="shared" si="43"/>
        <v>976</v>
      </c>
      <c r="I39" s="203"/>
      <c r="J39" s="6" t="s">
        <v>32</v>
      </c>
      <c r="K39" s="27">
        <v>18.600000000000001</v>
      </c>
      <c r="L39" s="6">
        <v>1266</v>
      </c>
      <c r="M39" s="6">
        <f>N39+O39+P39+Q39</f>
        <v>1055</v>
      </c>
      <c r="N39" s="6">
        <v>304</v>
      </c>
      <c r="O39" s="6">
        <v>102</v>
      </c>
      <c r="P39" s="6">
        <v>2</v>
      </c>
      <c r="Q39" s="6">
        <v>647</v>
      </c>
      <c r="R39" s="6" t="s">
        <v>32</v>
      </c>
      <c r="S39" s="27">
        <v>7.9</v>
      </c>
      <c r="T39" s="6">
        <v>615</v>
      </c>
      <c r="U39" s="6">
        <f>V39+W39+X39+Y39</f>
        <v>538</v>
      </c>
      <c r="V39" s="6">
        <v>33</v>
      </c>
      <c r="W39" s="6">
        <v>165</v>
      </c>
      <c r="X39" s="6">
        <v>11</v>
      </c>
      <c r="Y39" s="6">
        <v>329</v>
      </c>
      <c r="Z39" s="1"/>
      <c r="AA39" s="6" t="s">
        <v>32</v>
      </c>
      <c r="AB39" s="27">
        <v>3.7</v>
      </c>
      <c r="AC39" s="6">
        <v>225</v>
      </c>
      <c r="AD39" s="6">
        <f>AE39+AF39+AG39+AH39</f>
        <v>233</v>
      </c>
      <c r="AE39" s="6">
        <v>13</v>
      </c>
      <c r="AF39" s="6">
        <v>50</v>
      </c>
      <c r="AG39" s="6">
        <v>1</v>
      </c>
      <c r="AH39" s="6">
        <v>169</v>
      </c>
      <c r="AI39" s="1"/>
      <c r="AJ39" s="6" t="s">
        <v>32</v>
      </c>
      <c r="AK39" s="27"/>
      <c r="AL39" s="6"/>
      <c r="AM39" s="6">
        <f>AN39+AO39+AP39+AQ39</f>
        <v>0</v>
      </c>
      <c r="AN39" s="6"/>
      <c r="AO39" s="6"/>
      <c r="AP39" s="6"/>
      <c r="AQ39" s="6"/>
      <c r="AZ39" s="1"/>
      <c r="BA39" s="114"/>
      <c r="BB39" s="1"/>
      <c r="BC39" s="1"/>
      <c r="BD39" s="1"/>
      <c r="BE39" s="1"/>
      <c r="BF39" s="1"/>
      <c r="BG39" s="1"/>
    </row>
    <row r="40" spans="1:59">
      <c r="A40" s="6" t="s">
        <v>12</v>
      </c>
      <c r="B40" s="26">
        <f t="shared" ref="B40:H40" si="44">B39/B38*100</f>
        <v>19.485294117647058</v>
      </c>
      <c r="C40" s="26">
        <f t="shared" si="44"/>
        <v>42.90602189781022</v>
      </c>
      <c r="D40" s="26">
        <f t="shared" si="44"/>
        <v>43.655796108522878</v>
      </c>
      <c r="E40" s="26">
        <f t="shared" si="44"/>
        <v>842.50000000000011</v>
      </c>
      <c r="F40" s="26">
        <f t="shared" si="44"/>
        <v>28.802588996763756</v>
      </c>
      <c r="G40" s="26">
        <f t="shared" si="44"/>
        <v>2.8077753779697625</v>
      </c>
      <c r="H40" s="26">
        <f t="shared" si="44"/>
        <v>43.983776475890039</v>
      </c>
      <c r="I40" s="203"/>
      <c r="J40" s="6" t="s">
        <v>12</v>
      </c>
      <c r="K40" s="26">
        <f t="shared" ref="K40:Q40" si="45">K39/K38*100</f>
        <v>16.145833333333336</v>
      </c>
      <c r="L40" s="26">
        <f t="shared" si="45"/>
        <v>36.275071633237822</v>
      </c>
      <c r="M40" s="26">
        <f t="shared" si="45"/>
        <v>36.467334946422397</v>
      </c>
      <c r="N40" s="26">
        <f t="shared" si="45"/>
        <v>3377.7777777777778</v>
      </c>
      <c r="O40" s="26">
        <f t="shared" si="45"/>
        <v>16.451612903225808</v>
      </c>
      <c r="P40" s="26">
        <f t="shared" si="45"/>
        <v>0.4464285714285714</v>
      </c>
      <c r="Q40" s="26">
        <f t="shared" si="45"/>
        <v>35.627753303964759</v>
      </c>
      <c r="R40" s="6" t="s">
        <v>12</v>
      </c>
      <c r="S40" s="26">
        <f t="shared" ref="S40:Y40" si="46">S39/S38*100</f>
        <v>41.798941798941804</v>
      </c>
      <c r="T40" s="26">
        <f t="shared" si="46"/>
        <v>71.845794392523359</v>
      </c>
      <c r="U40" s="26">
        <f t="shared" si="46"/>
        <v>74.309392265193381</v>
      </c>
      <c r="V40" s="26">
        <f t="shared" si="46"/>
        <v>106.45161290322579</v>
      </c>
      <c r="W40" s="26">
        <f t="shared" si="46"/>
        <v>56.12244897959183</v>
      </c>
      <c r="X40" s="26">
        <f t="shared" si="46"/>
        <v>73.333333333333329</v>
      </c>
      <c r="Y40" s="26">
        <f t="shared" si="46"/>
        <v>85.677083333333343</v>
      </c>
      <c r="Z40" s="113"/>
      <c r="AA40" s="6" t="s">
        <v>12</v>
      </c>
      <c r="AB40" s="26">
        <f t="shared" ref="AB40:AH40" si="47">AB39/AB38*100</f>
        <v>27.611940298507463</v>
      </c>
      <c r="AC40" s="26">
        <f t="shared" si="47"/>
        <v>37.688442211055282</v>
      </c>
      <c r="AD40" s="26">
        <f t="shared" si="47"/>
        <v>46.047430830039524</v>
      </c>
      <c r="AE40" s="26">
        <f t="shared" si="47"/>
        <v>52</v>
      </c>
      <c r="AF40" s="26">
        <f t="shared" si="47"/>
        <v>23.148148148148149</v>
      </c>
      <c r="AG40" s="26">
        <f t="shared" si="47"/>
        <v>25</v>
      </c>
      <c r="AH40" s="26">
        <f t="shared" si="47"/>
        <v>64.503816793893137</v>
      </c>
      <c r="AI40" s="113"/>
      <c r="AJ40" s="6" t="s">
        <v>12</v>
      </c>
      <c r="AK40" s="26">
        <f>AK39/AK38*100</f>
        <v>0</v>
      </c>
      <c r="AL40" s="26">
        <f>AL39/AL38*100</f>
        <v>0</v>
      </c>
      <c r="AM40" s="26">
        <f>AM39/AM38*100</f>
        <v>0</v>
      </c>
      <c r="AN40" s="26">
        <v>0</v>
      </c>
      <c r="AO40" s="26">
        <f>AO39/AO38*100</f>
        <v>0</v>
      </c>
      <c r="AP40" s="26" t="e">
        <f>AP39/AP38*100</f>
        <v>#DIV/0!</v>
      </c>
      <c r="AQ40" s="26">
        <f>AQ39/AQ38*100</f>
        <v>0</v>
      </c>
      <c r="AZ40" s="1"/>
      <c r="BA40" s="113"/>
      <c r="BB40" s="113"/>
      <c r="BC40" s="113"/>
      <c r="BD40" s="113"/>
      <c r="BE40" s="113"/>
      <c r="BF40" s="113"/>
      <c r="BG40" s="113"/>
    </row>
    <row r="41" spans="1:59">
      <c r="A41" s="1"/>
      <c r="B41" s="113"/>
      <c r="C41" s="113"/>
      <c r="D41" s="113"/>
      <c r="E41" s="113"/>
      <c r="F41" s="113"/>
      <c r="G41" s="113"/>
      <c r="H41" s="113"/>
      <c r="J41" s="1"/>
      <c r="K41" s="113"/>
      <c r="L41" s="113"/>
      <c r="M41" s="113"/>
      <c r="N41" s="113"/>
      <c r="O41" s="113"/>
      <c r="P41" s="113"/>
      <c r="Q41" s="113"/>
      <c r="R41" s="1"/>
      <c r="S41" s="113"/>
      <c r="T41" s="113"/>
      <c r="U41" s="113"/>
      <c r="V41" s="113"/>
      <c r="W41" s="113"/>
      <c r="X41" s="113"/>
      <c r="Y41" s="113"/>
      <c r="Z41" s="113"/>
      <c r="AA41" s="1"/>
      <c r="AB41" s="113"/>
      <c r="AC41" s="113"/>
      <c r="AD41" s="113"/>
      <c r="AE41" s="113"/>
      <c r="AF41" s="113"/>
      <c r="AG41" s="113"/>
      <c r="AH41" s="113"/>
      <c r="AI41" s="113"/>
      <c r="AJ41" s="1"/>
      <c r="AK41" s="113"/>
      <c r="AL41" s="113"/>
      <c r="AM41" s="113"/>
      <c r="AN41" s="113"/>
      <c r="AO41" s="113"/>
      <c r="AP41" s="113"/>
      <c r="AQ41" s="113"/>
      <c r="AZ41" s="1"/>
      <c r="BA41" s="113"/>
      <c r="BB41" s="113"/>
      <c r="BC41" s="113"/>
      <c r="BD41" s="113"/>
      <c r="BE41" s="113"/>
      <c r="BF41" s="113"/>
      <c r="BG41" s="113"/>
    </row>
    <row r="42" spans="1:59" ht="15.6">
      <c r="A42" s="12" t="s">
        <v>49</v>
      </c>
      <c r="B42" s="13"/>
      <c r="C42" s="13"/>
      <c r="D42" s="13"/>
      <c r="E42" s="13"/>
      <c r="F42" s="13"/>
      <c r="G42" s="13"/>
      <c r="H42" s="13"/>
      <c r="J42" s="1"/>
      <c r="K42" s="113"/>
      <c r="L42" s="113"/>
      <c r="M42" s="113"/>
      <c r="N42" s="113"/>
      <c r="O42" s="113"/>
      <c r="P42" s="113"/>
      <c r="Q42" s="113"/>
      <c r="R42" s="1"/>
      <c r="S42" s="113"/>
      <c r="T42" s="113"/>
      <c r="U42" s="113"/>
      <c r="V42" s="113"/>
      <c r="W42" s="113"/>
      <c r="X42" s="113"/>
      <c r="Y42" s="113"/>
      <c r="Z42" s="113"/>
      <c r="AA42" s="1"/>
      <c r="AB42" s="113"/>
      <c r="AC42" s="113"/>
      <c r="AD42" s="113"/>
      <c r="AE42" s="113"/>
      <c r="AF42" s="113"/>
      <c r="AG42" s="113"/>
      <c r="AH42" s="113"/>
      <c r="AI42" s="113"/>
      <c r="AJ42" s="1"/>
      <c r="AK42" s="113"/>
      <c r="AL42" s="113"/>
      <c r="AM42" s="472" t="s">
        <v>65</v>
      </c>
      <c r="AN42" s="472"/>
      <c r="AO42" s="472"/>
      <c r="AP42" s="472"/>
      <c r="AQ42" s="472"/>
      <c r="AZ42" s="1"/>
      <c r="BA42" s="113"/>
      <c r="BB42" s="113"/>
      <c r="BC42" s="113"/>
      <c r="BD42" s="113"/>
      <c r="BE42" s="113"/>
      <c r="BF42" s="113"/>
      <c r="BG42" s="113"/>
    </row>
    <row r="43" spans="1:59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  <c r="J43" s="1"/>
      <c r="K43" s="113"/>
      <c r="L43" s="113"/>
      <c r="M43" s="113"/>
      <c r="N43" s="113"/>
      <c r="O43" s="113"/>
      <c r="P43" s="113"/>
      <c r="Q43" s="113"/>
      <c r="R43" s="1"/>
      <c r="S43" s="113"/>
      <c r="T43" s="113"/>
      <c r="U43" s="113"/>
      <c r="V43" s="113"/>
      <c r="W43" s="113"/>
      <c r="X43" s="113"/>
      <c r="Y43" s="113"/>
      <c r="Z43" s="113"/>
      <c r="AA43" s="1"/>
      <c r="AB43" s="113"/>
      <c r="AC43" s="113"/>
      <c r="AD43" s="113"/>
      <c r="AE43" s="113"/>
      <c r="AF43" s="113"/>
      <c r="AG43" s="113"/>
      <c r="AH43" s="113"/>
      <c r="AI43" s="113"/>
      <c r="AJ43" s="1"/>
      <c r="AK43" s="113"/>
      <c r="AL43" s="113"/>
      <c r="AM43" s="472" t="s">
        <v>66</v>
      </c>
      <c r="AN43" s="472"/>
      <c r="AO43" s="472"/>
      <c r="AP43" s="472"/>
      <c r="AQ43" s="472"/>
      <c r="AZ43" s="1"/>
      <c r="BA43" s="113"/>
      <c r="BB43" s="113"/>
      <c r="BC43" s="113"/>
      <c r="BD43" s="113"/>
      <c r="BE43" s="113"/>
      <c r="BF43" s="113"/>
      <c r="BG43" s="113"/>
    </row>
    <row r="44" spans="1:59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59">
      <c r="A45" s="81" t="s">
        <v>17</v>
      </c>
      <c r="B45" s="192"/>
      <c r="C45" s="193"/>
      <c r="D45" s="192"/>
      <c r="E45" s="192"/>
      <c r="F45" s="192"/>
      <c r="G45" s="192"/>
      <c r="H45" s="194"/>
      <c r="AM45" s="472"/>
      <c r="AN45" s="472"/>
      <c r="AO45" s="472"/>
      <c r="AP45" s="472"/>
      <c r="AQ45" s="472"/>
      <c r="BC45" s="472"/>
      <c r="BD45" s="472"/>
      <c r="BE45" s="472"/>
      <c r="BF45" s="472"/>
      <c r="BG45" s="472"/>
    </row>
    <row r="46" spans="1:59">
      <c r="A46" s="82" t="s">
        <v>40</v>
      </c>
      <c r="B46" s="83">
        <f t="shared" ref="B46:H47" si="48">K9+S9+AK9</f>
        <v>682.99999999999989</v>
      </c>
      <c r="C46" s="83">
        <f t="shared" si="48"/>
        <v>37286</v>
      </c>
      <c r="D46" s="83">
        <f t="shared" si="48"/>
        <v>30742</v>
      </c>
      <c r="E46" s="83">
        <f t="shared" si="48"/>
        <v>6669</v>
      </c>
      <c r="F46" s="83">
        <f t="shared" si="48"/>
        <v>6129</v>
      </c>
      <c r="G46" s="83">
        <f t="shared" si="48"/>
        <v>1780</v>
      </c>
      <c r="H46" s="83">
        <f t="shared" si="48"/>
        <v>16164</v>
      </c>
      <c r="AM46" s="472"/>
      <c r="AN46" s="472"/>
      <c r="AO46" s="472"/>
      <c r="AP46" s="472"/>
      <c r="AQ46" s="472"/>
      <c r="BC46" s="472"/>
      <c r="BD46" s="472"/>
      <c r="BE46" s="472"/>
      <c r="BF46" s="472"/>
      <c r="BG46" s="472"/>
    </row>
    <row r="47" spans="1:59">
      <c r="A47" s="84" t="s">
        <v>50</v>
      </c>
      <c r="B47" s="83">
        <f>K10+S10+AK10</f>
        <v>450.70000000000005</v>
      </c>
      <c r="C47" s="83">
        <f>L10+T10+AL10</f>
        <v>24267</v>
      </c>
      <c r="D47" s="83">
        <f t="shared" si="48"/>
        <v>21311</v>
      </c>
      <c r="E47" s="83">
        <f t="shared" si="48"/>
        <v>7901</v>
      </c>
      <c r="F47" s="83">
        <f t="shared" si="48"/>
        <v>2860</v>
      </c>
      <c r="G47" s="83">
        <f t="shared" si="48"/>
        <v>400</v>
      </c>
      <c r="H47" s="83">
        <f t="shared" si="48"/>
        <v>10150</v>
      </c>
    </row>
    <row r="48" spans="1:59">
      <c r="A48" s="85" t="s">
        <v>44</v>
      </c>
      <c r="B48" s="86">
        <f>B47/B46*100</f>
        <v>65.988286969253309</v>
      </c>
      <c r="C48" s="86">
        <f t="shared" ref="C48:H48" si="49">C47/C46*100</f>
        <v>65.083409322533925</v>
      </c>
      <c r="D48" s="86">
        <f t="shared" si="49"/>
        <v>69.322100058551811</v>
      </c>
      <c r="E48" s="86">
        <f t="shared" si="49"/>
        <v>118.47353426300795</v>
      </c>
      <c r="F48" s="86">
        <f t="shared" si="49"/>
        <v>46.663403491597322</v>
      </c>
      <c r="G48" s="86">
        <f t="shared" si="49"/>
        <v>22.471910112359549</v>
      </c>
      <c r="H48" s="86">
        <f t="shared" si="49"/>
        <v>62.793862905221474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0">K13+S13+AK13</f>
        <v>116.9</v>
      </c>
      <c r="C50" s="90">
        <f t="shared" si="50"/>
        <v>7602</v>
      </c>
      <c r="D50" s="90">
        <f t="shared" si="50"/>
        <v>5836</v>
      </c>
      <c r="E50" s="90">
        <f t="shared" si="50"/>
        <v>1558</v>
      </c>
      <c r="F50" s="90">
        <f t="shared" si="50"/>
        <v>2131</v>
      </c>
      <c r="G50" s="90">
        <f t="shared" si="50"/>
        <v>685</v>
      </c>
      <c r="H50" s="90">
        <f t="shared" si="50"/>
        <v>1462</v>
      </c>
    </row>
    <row r="51" spans="1:8">
      <c r="A51" s="75" t="s">
        <v>50</v>
      </c>
      <c r="B51" s="90">
        <f t="shared" si="50"/>
        <v>175.5</v>
      </c>
      <c r="C51" s="90">
        <f t="shared" si="50"/>
        <v>10149</v>
      </c>
      <c r="D51" s="90">
        <f t="shared" si="50"/>
        <v>8552</v>
      </c>
      <c r="E51" s="90">
        <f t="shared" si="50"/>
        <v>4066</v>
      </c>
      <c r="F51" s="90">
        <f t="shared" si="50"/>
        <v>1775</v>
      </c>
      <c r="G51" s="90">
        <f t="shared" si="50"/>
        <v>154</v>
      </c>
      <c r="H51" s="90">
        <f t="shared" si="50"/>
        <v>2557</v>
      </c>
    </row>
    <row r="52" spans="1:8">
      <c r="A52" s="75" t="s">
        <v>44</v>
      </c>
      <c r="B52" s="91">
        <f t="shared" ref="B52:H52" si="51">B51/B50*100</f>
        <v>150.12831479897349</v>
      </c>
      <c r="C52" s="91">
        <f t="shared" si="51"/>
        <v>133.50434096290448</v>
      </c>
      <c r="D52" s="91">
        <f t="shared" si="51"/>
        <v>146.53872515421523</v>
      </c>
      <c r="E52" s="91">
        <f t="shared" si="51"/>
        <v>260.97560975609758</v>
      </c>
      <c r="F52" s="91">
        <f t="shared" si="51"/>
        <v>83.294228061942761</v>
      </c>
      <c r="G52" s="91">
        <f t="shared" si="51"/>
        <v>22.481751824817518</v>
      </c>
      <c r="H52" s="91">
        <f t="shared" si="51"/>
        <v>174.89740082079345</v>
      </c>
    </row>
    <row r="53" spans="1:8">
      <c r="A53" s="75" t="s">
        <v>13</v>
      </c>
      <c r="B53" s="90">
        <f t="shared" ref="B53:H55" si="52">K16+S16+AK16</f>
        <v>109.6</v>
      </c>
      <c r="C53" s="90">
        <f t="shared" si="52"/>
        <v>6529</v>
      </c>
      <c r="D53" s="90">
        <f t="shared" si="52"/>
        <v>5513</v>
      </c>
      <c r="E53" s="90">
        <f t="shared" si="52"/>
        <v>2654</v>
      </c>
      <c r="F53" s="90">
        <f t="shared" si="52"/>
        <v>1202</v>
      </c>
      <c r="G53" s="90">
        <f t="shared" si="52"/>
        <v>113</v>
      </c>
      <c r="H53" s="90">
        <f t="shared" si="52"/>
        <v>1544</v>
      </c>
    </row>
    <row r="54" spans="1:8">
      <c r="A54" s="92" t="s">
        <v>14</v>
      </c>
      <c r="B54" s="90">
        <f t="shared" si="52"/>
        <v>0.7</v>
      </c>
      <c r="C54" s="90">
        <f t="shared" si="52"/>
        <v>15</v>
      </c>
      <c r="D54" s="90">
        <f t="shared" si="52"/>
        <v>12</v>
      </c>
      <c r="E54" s="90">
        <f t="shared" si="52"/>
        <v>10</v>
      </c>
      <c r="F54" s="90">
        <f t="shared" si="52"/>
        <v>1</v>
      </c>
      <c r="G54" s="90">
        <f t="shared" si="52"/>
        <v>0</v>
      </c>
      <c r="H54" s="90">
        <f t="shared" si="52"/>
        <v>1</v>
      </c>
    </row>
    <row r="55" spans="1:8">
      <c r="A55" s="75" t="s">
        <v>15</v>
      </c>
      <c r="B55" s="90">
        <f t="shared" si="52"/>
        <v>12.799999999999999</v>
      </c>
      <c r="C55" s="90">
        <f t="shared" si="52"/>
        <v>1125</v>
      </c>
      <c r="D55" s="90">
        <f t="shared" si="52"/>
        <v>956</v>
      </c>
      <c r="E55" s="90">
        <f t="shared" si="52"/>
        <v>698</v>
      </c>
      <c r="F55" s="90">
        <f t="shared" si="52"/>
        <v>104</v>
      </c>
      <c r="G55" s="90">
        <f t="shared" si="52"/>
        <v>18</v>
      </c>
      <c r="H55" s="90">
        <f t="shared" si="52"/>
        <v>136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3">K20+S20+AK20</f>
        <v>566.09999999999991</v>
      </c>
      <c r="C57" s="90">
        <f t="shared" si="53"/>
        <v>29684</v>
      </c>
      <c r="D57" s="90">
        <f t="shared" si="53"/>
        <v>24906</v>
      </c>
      <c r="E57" s="90">
        <f t="shared" si="53"/>
        <v>5111</v>
      </c>
      <c r="F57" s="90">
        <f t="shared" si="53"/>
        <v>3998</v>
      </c>
      <c r="G57" s="90">
        <f t="shared" si="53"/>
        <v>1095</v>
      </c>
      <c r="H57" s="90">
        <f t="shared" si="53"/>
        <v>14702</v>
      </c>
    </row>
    <row r="58" spans="1:8">
      <c r="A58" s="92" t="s">
        <v>50</v>
      </c>
      <c r="B58" s="90">
        <f t="shared" si="53"/>
        <v>275.20000000000005</v>
      </c>
      <c r="C58" s="90">
        <f t="shared" si="53"/>
        <v>14118</v>
      </c>
      <c r="D58" s="90">
        <f t="shared" si="53"/>
        <v>12759</v>
      </c>
      <c r="E58" s="90">
        <f t="shared" si="53"/>
        <v>3835</v>
      </c>
      <c r="F58" s="90">
        <f t="shared" si="53"/>
        <v>1085</v>
      </c>
      <c r="G58" s="90">
        <f t="shared" si="53"/>
        <v>246</v>
      </c>
      <c r="H58" s="90">
        <f t="shared" si="53"/>
        <v>7593</v>
      </c>
    </row>
    <row r="59" spans="1:8">
      <c r="A59" s="75" t="s">
        <v>44</v>
      </c>
      <c r="B59" s="91">
        <f t="shared" ref="B59:H59" si="54">B58/B57*100</f>
        <v>48.613319201554511</v>
      </c>
      <c r="C59" s="91">
        <f t="shared" si="54"/>
        <v>47.560975609756099</v>
      </c>
      <c r="D59" s="91">
        <f t="shared" si="54"/>
        <v>51.228619609732597</v>
      </c>
      <c r="E59" s="91">
        <f t="shared" si="54"/>
        <v>75.034239874779885</v>
      </c>
      <c r="F59" s="91">
        <f t="shared" si="54"/>
        <v>27.138569284642323</v>
      </c>
      <c r="G59" s="91">
        <f t="shared" si="54"/>
        <v>22.465753424657535</v>
      </c>
      <c r="H59" s="91">
        <f t="shared" si="54"/>
        <v>51.646034553122021</v>
      </c>
    </row>
    <row r="60" spans="1:8">
      <c r="A60" s="75" t="s">
        <v>21</v>
      </c>
      <c r="B60" s="90">
        <f t="shared" ref="B60:H61" si="55">K23+S23+AK23</f>
        <v>352.3</v>
      </c>
      <c r="C60" s="90">
        <f t="shared" si="55"/>
        <v>22066</v>
      </c>
      <c r="D60" s="90">
        <f t="shared" si="55"/>
        <v>18462</v>
      </c>
      <c r="E60" s="90">
        <f t="shared" si="55"/>
        <v>4973</v>
      </c>
      <c r="F60" s="90">
        <f t="shared" si="55"/>
        <v>2371</v>
      </c>
      <c r="G60" s="90">
        <f t="shared" si="55"/>
        <v>346</v>
      </c>
      <c r="H60" s="90">
        <f t="shared" si="55"/>
        <v>10772</v>
      </c>
    </row>
    <row r="61" spans="1:8">
      <c r="A61" s="75" t="s">
        <v>51</v>
      </c>
      <c r="B61" s="90">
        <f t="shared" si="55"/>
        <v>230</v>
      </c>
      <c r="C61" s="90">
        <f t="shared" si="55"/>
        <v>11757</v>
      </c>
      <c r="D61" s="90">
        <f t="shared" si="55"/>
        <v>10727</v>
      </c>
      <c r="E61" s="90">
        <f t="shared" si="55"/>
        <v>3455</v>
      </c>
      <c r="F61" s="90">
        <f t="shared" si="55"/>
        <v>737</v>
      </c>
      <c r="G61" s="90">
        <f t="shared" si="55"/>
        <v>201</v>
      </c>
      <c r="H61" s="90">
        <f t="shared" si="55"/>
        <v>6334</v>
      </c>
    </row>
    <row r="62" spans="1:8">
      <c r="A62" s="75" t="s">
        <v>12</v>
      </c>
      <c r="B62" s="91">
        <f t="shared" ref="B62:H62" si="56">B61/B60*100</f>
        <v>65.285268237297757</v>
      </c>
      <c r="C62" s="91">
        <f t="shared" si="56"/>
        <v>53.28106589322941</v>
      </c>
      <c r="D62" s="91">
        <f t="shared" si="56"/>
        <v>58.103130755064456</v>
      </c>
      <c r="E62" s="91">
        <f t="shared" si="56"/>
        <v>69.47516589583752</v>
      </c>
      <c r="F62" s="91">
        <f t="shared" si="56"/>
        <v>31.083930830873047</v>
      </c>
      <c r="G62" s="91">
        <f t="shared" si="56"/>
        <v>58.092485549132945</v>
      </c>
      <c r="H62" s="91">
        <f t="shared" si="56"/>
        <v>58.800594132937242</v>
      </c>
    </row>
    <row r="63" spans="1:8">
      <c r="A63" s="75" t="s">
        <v>23</v>
      </c>
      <c r="B63" s="90">
        <f t="shared" ref="B63:H64" si="57">K26+S26+AK26</f>
        <v>49.300000000000004</v>
      </c>
      <c r="C63" s="90">
        <f t="shared" si="57"/>
        <v>1416</v>
      </c>
      <c r="D63" s="90">
        <f t="shared" si="57"/>
        <v>1218</v>
      </c>
      <c r="E63" s="90">
        <f t="shared" si="57"/>
        <v>85</v>
      </c>
      <c r="F63" s="90">
        <f t="shared" si="57"/>
        <v>286</v>
      </c>
      <c r="G63" s="90">
        <f t="shared" si="57"/>
        <v>28</v>
      </c>
      <c r="H63" s="90">
        <f t="shared" si="57"/>
        <v>819</v>
      </c>
    </row>
    <row r="64" spans="1:8">
      <c r="A64" s="75" t="s">
        <v>45</v>
      </c>
      <c r="B64" s="90">
        <f t="shared" si="57"/>
        <v>14.9</v>
      </c>
      <c r="C64" s="90">
        <f t="shared" si="57"/>
        <v>117</v>
      </c>
      <c r="D64" s="90">
        <f t="shared" si="57"/>
        <v>110</v>
      </c>
      <c r="E64" s="90">
        <f t="shared" si="57"/>
        <v>40</v>
      </c>
      <c r="F64" s="90">
        <f t="shared" si="57"/>
        <v>6</v>
      </c>
      <c r="G64" s="90">
        <f t="shared" si="57"/>
        <v>0</v>
      </c>
      <c r="H64" s="90">
        <f t="shared" si="57"/>
        <v>64</v>
      </c>
    </row>
    <row r="65" spans="1:8">
      <c r="A65" s="75" t="s">
        <v>12</v>
      </c>
      <c r="B65" s="91">
        <f t="shared" ref="B65:H65" si="58">B64/B63*100</f>
        <v>30.223123732251516</v>
      </c>
      <c r="C65" s="91">
        <f t="shared" si="58"/>
        <v>8.2627118644067803</v>
      </c>
      <c r="D65" s="91">
        <f t="shared" si="58"/>
        <v>9.0311986863711002</v>
      </c>
      <c r="E65" s="91">
        <f t="shared" si="58"/>
        <v>47.058823529411761</v>
      </c>
      <c r="F65" s="91">
        <f t="shared" si="58"/>
        <v>2.0979020979020979</v>
      </c>
      <c r="G65" s="91">
        <f t="shared" si="58"/>
        <v>0</v>
      </c>
      <c r="H65" s="91">
        <f t="shared" si="58"/>
        <v>7.8144078144078142</v>
      </c>
    </row>
    <row r="66" spans="1:8">
      <c r="A66" s="75" t="s">
        <v>25</v>
      </c>
      <c r="B66" s="90">
        <f t="shared" ref="B66:H67" si="59">K29+S29+AK29</f>
        <v>7.2000000000000011</v>
      </c>
      <c r="C66" s="90">
        <f t="shared" si="59"/>
        <v>231</v>
      </c>
      <c r="D66" s="90">
        <f t="shared" si="59"/>
        <v>195</v>
      </c>
      <c r="E66" s="90">
        <f t="shared" si="59"/>
        <v>13</v>
      </c>
      <c r="F66" s="90">
        <f t="shared" si="59"/>
        <v>49</v>
      </c>
      <c r="G66" s="90">
        <f t="shared" si="59"/>
        <v>4</v>
      </c>
      <c r="H66" s="90">
        <f t="shared" si="59"/>
        <v>129</v>
      </c>
    </row>
    <row r="67" spans="1:8">
      <c r="A67" s="75" t="s">
        <v>46</v>
      </c>
      <c r="B67" s="90">
        <f t="shared" si="59"/>
        <v>0</v>
      </c>
      <c r="C67" s="90">
        <f t="shared" si="59"/>
        <v>6</v>
      </c>
      <c r="D67" s="90">
        <f t="shared" si="59"/>
        <v>6</v>
      </c>
      <c r="E67" s="90">
        <f t="shared" si="59"/>
        <v>0</v>
      </c>
      <c r="F67" s="90">
        <f t="shared" si="59"/>
        <v>0</v>
      </c>
      <c r="G67" s="90">
        <f t="shared" si="59"/>
        <v>0</v>
      </c>
      <c r="H67" s="90">
        <f t="shared" si="59"/>
        <v>6</v>
      </c>
    </row>
    <row r="68" spans="1:8">
      <c r="A68" s="75" t="s">
        <v>12</v>
      </c>
      <c r="B68" s="91">
        <f t="shared" ref="B68:H68" si="60">B67/B66*100</f>
        <v>0</v>
      </c>
      <c r="C68" s="91">
        <f t="shared" si="60"/>
        <v>2.5974025974025974</v>
      </c>
      <c r="D68" s="91">
        <f t="shared" si="60"/>
        <v>3.0769230769230771</v>
      </c>
      <c r="E68" s="91">
        <f t="shared" si="60"/>
        <v>0</v>
      </c>
      <c r="F68" s="91">
        <f t="shared" si="60"/>
        <v>0</v>
      </c>
      <c r="G68" s="91">
        <f t="shared" si="60"/>
        <v>0</v>
      </c>
      <c r="H68" s="91">
        <f t="shared" si="60"/>
        <v>4.6511627906976747</v>
      </c>
    </row>
    <row r="69" spans="1:8">
      <c r="A69" s="75" t="s">
        <v>27</v>
      </c>
      <c r="B69" s="90">
        <f t="shared" ref="B69:H70" si="61">K32+S32+AK32</f>
        <v>0</v>
      </c>
      <c r="C69" s="90">
        <f t="shared" si="61"/>
        <v>0</v>
      </c>
      <c r="D69" s="90">
        <f t="shared" si="61"/>
        <v>0</v>
      </c>
      <c r="E69" s="90">
        <f t="shared" si="61"/>
        <v>0</v>
      </c>
      <c r="F69" s="90">
        <f t="shared" si="61"/>
        <v>0</v>
      </c>
      <c r="G69" s="90">
        <f t="shared" si="61"/>
        <v>0</v>
      </c>
      <c r="H69" s="90">
        <f t="shared" si="61"/>
        <v>0</v>
      </c>
    </row>
    <row r="70" spans="1:8">
      <c r="A70" s="75" t="s">
        <v>47</v>
      </c>
      <c r="B70" s="90">
        <f t="shared" si="61"/>
        <v>0</v>
      </c>
      <c r="C70" s="90">
        <f t="shared" si="61"/>
        <v>0</v>
      </c>
      <c r="D70" s="90">
        <f t="shared" si="61"/>
        <v>0</v>
      </c>
      <c r="E70" s="90">
        <f t="shared" si="61"/>
        <v>0</v>
      </c>
      <c r="F70" s="90">
        <f t="shared" si="61"/>
        <v>0</v>
      </c>
      <c r="G70" s="90">
        <f t="shared" si="61"/>
        <v>0</v>
      </c>
      <c r="H70" s="90">
        <f t="shared" si="61"/>
        <v>0</v>
      </c>
    </row>
    <row r="71" spans="1:8">
      <c r="A71" s="75" t="s">
        <v>12</v>
      </c>
      <c r="B71" s="91" t="e">
        <f t="shared" ref="B71:H71" si="62">B70/B69*100</f>
        <v>#DIV/0!</v>
      </c>
      <c r="C71" s="91" t="e">
        <f t="shared" si="62"/>
        <v>#DIV/0!</v>
      </c>
      <c r="D71" s="91" t="e">
        <f t="shared" si="62"/>
        <v>#DIV/0!</v>
      </c>
      <c r="E71" s="91" t="e">
        <f t="shared" si="62"/>
        <v>#DIV/0!</v>
      </c>
      <c r="F71" s="91" t="e">
        <f t="shared" si="62"/>
        <v>#DIV/0!</v>
      </c>
      <c r="G71" s="91" t="e">
        <f t="shared" si="62"/>
        <v>#DIV/0!</v>
      </c>
      <c r="H71" s="91" t="e">
        <f t="shared" si="62"/>
        <v>#DIV/0!</v>
      </c>
    </row>
    <row r="72" spans="1:8">
      <c r="A72" s="75" t="s">
        <v>29</v>
      </c>
      <c r="B72" s="90">
        <f t="shared" ref="B72:H73" si="63">K35+S35+AK35</f>
        <v>21.3</v>
      </c>
      <c r="C72" s="90">
        <f t="shared" si="63"/>
        <v>1587</v>
      </c>
      <c r="D72" s="90">
        <f t="shared" si="63"/>
        <v>1382</v>
      </c>
      <c r="E72" s="90">
        <f t="shared" si="63"/>
        <v>0</v>
      </c>
      <c r="F72" s="90">
        <f t="shared" si="63"/>
        <v>365</v>
      </c>
      <c r="G72" s="90">
        <f t="shared" si="63"/>
        <v>254</v>
      </c>
      <c r="H72" s="90">
        <f t="shared" si="63"/>
        <v>763</v>
      </c>
    </row>
    <row r="73" spans="1:8">
      <c r="A73" s="75" t="s">
        <v>48</v>
      </c>
      <c r="B73" s="90">
        <f t="shared" si="63"/>
        <v>3.8</v>
      </c>
      <c r="C73" s="90">
        <f t="shared" si="63"/>
        <v>357</v>
      </c>
      <c r="D73" s="90">
        <f t="shared" si="63"/>
        <v>323</v>
      </c>
      <c r="E73" s="90">
        <f t="shared" si="63"/>
        <v>3</v>
      </c>
      <c r="F73" s="90">
        <f t="shared" si="63"/>
        <v>75</v>
      </c>
      <c r="G73" s="90">
        <f t="shared" si="63"/>
        <v>32</v>
      </c>
      <c r="H73" s="90">
        <f t="shared" si="63"/>
        <v>213</v>
      </c>
    </row>
    <row r="74" spans="1:8">
      <c r="A74" s="75" t="s">
        <v>12</v>
      </c>
      <c r="B74" s="91">
        <f t="shared" ref="B74:H74" si="64">B73/B72*100</f>
        <v>17.84037558685446</v>
      </c>
      <c r="C74" s="91">
        <f t="shared" si="64"/>
        <v>22.495274102079396</v>
      </c>
      <c r="D74" s="91">
        <f t="shared" si="64"/>
        <v>23.371924746743851</v>
      </c>
      <c r="E74" s="91" t="e">
        <f t="shared" si="64"/>
        <v>#DIV/0!</v>
      </c>
      <c r="F74" s="91">
        <f t="shared" si="64"/>
        <v>20.547945205479451</v>
      </c>
      <c r="G74" s="91">
        <f t="shared" si="64"/>
        <v>12.598425196850393</v>
      </c>
      <c r="H74" s="91">
        <f t="shared" si="64"/>
        <v>27.916120576671034</v>
      </c>
    </row>
    <row r="75" spans="1:8">
      <c r="A75" s="75" t="s">
        <v>31</v>
      </c>
      <c r="B75" s="90">
        <f t="shared" ref="B75:H76" si="65">K38+S38+AK38</f>
        <v>136</v>
      </c>
      <c r="C75" s="90">
        <f t="shared" si="65"/>
        <v>4384</v>
      </c>
      <c r="D75" s="90">
        <f t="shared" si="65"/>
        <v>3649</v>
      </c>
      <c r="E75" s="90">
        <f t="shared" si="65"/>
        <v>40</v>
      </c>
      <c r="F75" s="90">
        <f t="shared" si="65"/>
        <v>927</v>
      </c>
      <c r="G75" s="90">
        <f t="shared" si="65"/>
        <v>463</v>
      </c>
      <c r="H75" s="90">
        <f t="shared" si="65"/>
        <v>2219</v>
      </c>
    </row>
    <row r="76" spans="1:8">
      <c r="A76" s="75" t="s">
        <v>52</v>
      </c>
      <c r="B76" s="90">
        <f t="shared" si="65"/>
        <v>26.5</v>
      </c>
      <c r="C76" s="90">
        <f t="shared" si="65"/>
        <v>1881</v>
      </c>
      <c r="D76" s="90">
        <f t="shared" si="65"/>
        <v>1593</v>
      </c>
      <c r="E76" s="90">
        <f t="shared" si="65"/>
        <v>337</v>
      </c>
      <c r="F76" s="90">
        <f t="shared" si="65"/>
        <v>267</v>
      </c>
      <c r="G76" s="90">
        <f t="shared" si="65"/>
        <v>13</v>
      </c>
      <c r="H76" s="90">
        <f t="shared" si="65"/>
        <v>976</v>
      </c>
    </row>
    <row r="77" spans="1:8">
      <c r="A77" s="75" t="s">
        <v>12</v>
      </c>
      <c r="B77" s="91">
        <f t="shared" ref="B77:H77" si="66">B76/B75*100</f>
        <v>19.485294117647058</v>
      </c>
      <c r="C77" s="91">
        <f t="shared" si="66"/>
        <v>42.90602189781022</v>
      </c>
      <c r="D77" s="91">
        <f t="shared" si="66"/>
        <v>43.655796108522878</v>
      </c>
      <c r="E77" s="91">
        <f t="shared" si="66"/>
        <v>842.50000000000011</v>
      </c>
      <c r="F77" s="91">
        <f t="shared" si="66"/>
        <v>28.802588996763756</v>
      </c>
      <c r="G77" s="91">
        <f t="shared" si="66"/>
        <v>2.8077753779697625</v>
      </c>
      <c r="H77" s="91">
        <f t="shared" si="66"/>
        <v>43.983776475890039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67">B9-B46</f>
        <v>0</v>
      </c>
      <c r="C83" s="83">
        <f t="shared" si="67"/>
        <v>0</v>
      </c>
      <c r="D83" s="83">
        <f t="shared" si="67"/>
        <v>0</v>
      </c>
      <c r="E83" s="83">
        <f t="shared" si="67"/>
        <v>0</v>
      </c>
      <c r="F83" s="83">
        <f t="shared" si="67"/>
        <v>0</v>
      </c>
      <c r="G83" s="83">
        <f t="shared" si="67"/>
        <v>0</v>
      </c>
      <c r="H83" s="83">
        <f t="shared" si="67"/>
        <v>0</v>
      </c>
    </row>
    <row r="84" spans="1:8">
      <c r="A84" s="84" t="s">
        <v>50</v>
      </c>
      <c r="B84" s="83">
        <f t="shared" si="67"/>
        <v>0</v>
      </c>
      <c r="C84" s="83">
        <f t="shared" si="67"/>
        <v>0</v>
      </c>
      <c r="D84" s="83">
        <f t="shared" si="67"/>
        <v>0</v>
      </c>
      <c r="E84" s="83">
        <f t="shared" si="67"/>
        <v>0</v>
      </c>
      <c r="F84" s="83">
        <f t="shared" si="67"/>
        <v>0</v>
      </c>
      <c r="G84" s="83">
        <f t="shared" si="67"/>
        <v>0</v>
      </c>
      <c r="H84" s="83">
        <f t="shared" si="67"/>
        <v>0</v>
      </c>
    </row>
    <row r="85" spans="1:8">
      <c r="A85" s="85" t="s">
        <v>44</v>
      </c>
      <c r="B85" s="83">
        <f t="shared" si="67"/>
        <v>0</v>
      </c>
      <c r="C85" s="83">
        <f t="shared" si="67"/>
        <v>0</v>
      </c>
      <c r="D85" s="83">
        <f t="shared" si="67"/>
        <v>0</v>
      </c>
      <c r="E85" s="83">
        <f t="shared" si="67"/>
        <v>0</v>
      </c>
      <c r="F85" s="83">
        <f t="shared" si="67"/>
        <v>0</v>
      </c>
      <c r="G85" s="83">
        <f t="shared" si="67"/>
        <v>0</v>
      </c>
      <c r="H85" s="83">
        <f t="shared" si="67"/>
        <v>0</v>
      </c>
    </row>
    <row r="86" spans="1:8">
      <c r="A86" s="87" t="s">
        <v>11</v>
      </c>
      <c r="B86" s="83">
        <f t="shared" si="67"/>
        <v>0</v>
      </c>
      <c r="C86" s="83">
        <f t="shared" si="67"/>
        <v>0</v>
      </c>
      <c r="D86" s="83">
        <f t="shared" si="67"/>
        <v>0</v>
      </c>
      <c r="E86" s="83">
        <f t="shared" si="67"/>
        <v>0</v>
      </c>
      <c r="F86" s="83">
        <f t="shared" si="67"/>
        <v>0</v>
      </c>
      <c r="G86" s="83">
        <f t="shared" si="67"/>
        <v>0</v>
      </c>
      <c r="H86" s="83">
        <f t="shared" si="67"/>
        <v>0</v>
      </c>
    </row>
    <row r="87" spans="1:8">
      <c r="A87" s="75" t="s">
        <v>40</v>
      </c>
      <c r="B87" s="83">
        <f t="shared" si="67"/>
        <v>0</v>
      </c>
      <c r="C87" s="83">
        <f t="shared" si="67"/>
        <v>0</v>
      </c>
      <c r="D87" s="83">
        <f t="shared" si="67"/>
        <v>0</v>
      </c>
      <c r="E87" s="83">
        <f t="shared" si="67"/>
        <v>0</v>
      </c>
      <c r="F87" s="83">
        <f t="shared" si="67"/>
        <v>0</v>
      </c>
      <c r="G87" s="83">
        <f t="shared" si="67"/>
        <v>0</v>
      </c>
      <c r="H87" s="83">
        <f t="shared" si="67"/>
        <v>0</v>
      </c>
    </row>
    <row r="88" spans="1:8">
      <c r="A88" s="75" t="s">
        <v>50</v>
      </c>
      <c r="B88" s="83">
        <f t="shared" si="67"/>
        <v>0</v>
      </c>
      <c r="C88" s="83">
        <f t="shared" si="67"/>
        <v>0</v>
      </c>
      <c r="D88" s="83">
        <f t="shared" si="67"/>
        <v>0</v>
      </c>
      <c r="E88" s="83">
        <f t="shared" si="67"/>
        <v>0</v>
      </c>
      <c r="F88" s="83">
        <f t="shared" si="67"/>
        <v>0</v>
      </c>
      <c r="G88" s="83">
        <f t="shared" si="67"/>
        <v>0</v>
      </c>
      <c r="H88" s="83">
        <f t="shared" si="67"/>
        <v>0</v>
      </c>
    </row>
    <row r="89" spans="1:8">
      <c r="A89" s="75" t="s">
        <v>44</v>
      </c>
      <c r="B89" s="83">
        <f t="shared" si="67"/>
        <v>0</v>
      </c>
      <c r="C89" s="83">
        <f t="shared" si="67"/>
        <v>0</v>
      </c>
      <c r="D89" s="83">
        <f t="shared" si="67"/>
        <v>0</v>
      </c>
      <c r="E89" s="83">
        <f t="shared" si="67"/>
        <v>0</v>
      </c>
      <c r="F89" s="83">
        <f t="shared" si="67"/>
        <v>0</v>
      </c>
      <c r="G89" s="83">
        <f t="shared" si="67"/>
        <v>0</v>
      </c>
      <c r="H89" s="83">
        <f t="shared" si="67"/>
        <v>0</v>
      </c>
    </row>
    <row r="90" spans="1:8">
      <c r="A90" s="75" t="s">
        <v>13</v>
      </c>
      <c r="B90" s="83">
        <f t="shared" si="67"/>
        <v>0</v>
      </c>
      <c r="C90" s="83">
        <f t="shared" si="67"/>
        <v>0</v>
      </c>
      <c r="D90" s="83">
        <f t="shared" si="67"/>
        <v>0</v>
      </c>
      <c r="E90" s="83">
        <f t="shared" si="67"/>
        <v>0</v>
      </c>
      <c r="F90" s="83">
        <f t="shared" si="67"/>
        <v>0</v>
      </c>
      <c r="G90" s="83">
        <f t="shared" si="67"/>
        <v>0</v>
      </c>
      <c r="H90" s="83">
        <f t="shared" si="67"/>
        <v>0</v>
      </c>
    </row>
    <row r="91" spans="1:8">
      <c r="A91" s="92" t="s">
        <v>14</v>
      </c>
      <c r="B91" s="83">
        <f t="shared" si="67"/>
        <v>0</v>
      </c>
      <c r="C91" s="83">
        <f t="shared" si="67"/>
        <v>0</v>
      </c>
      <c r="D91" s="83">
        <f t="shared" si="67"/>
        <v>0</v>
      </c>
      <c r="E91" s="83">
        <f t="shared" si="67"/>
        <v>0</v>
      </c>
      <c r="F91" s="83">
        <f t="shared" si="67"/>
        <v>0</v>
      </c>
      <c r="G91" s="83">
        <f t="shared" si="67"/>
        <v>0</v>
      </c>
      <c r="H91" s="83">
        <f t="shared" si="67"/>
        <v>0</v>
      </c>
    </row>
    <row r="92" spans="1:8">
      <c r="A92" s="75" t="s">
        <v>15</v>
      </c>
      <c r="B92" s="83">
        <f t="shared" si="67"/>
        <v>0</v>
      </c>
      <c r="C92" s="83">
        <f t="shared" si="67"/>
        <v>0</v>
      </c>
      <c r="D92" s="83">
        <f t="shared" si="67"/>
        <v>0</v>
      </c>
      <c r="E92" s="83">
        <f t="shared" si="67"/>
        <v>0</v>
      </c>
      <c r="F92" s="83">
        <f t="shared" si="67"/>
        <v>0</v>
      </c>
      <c r="G92" s="83">
        <f t="shared" si="67"/>
        <v>0</v>
      </c>
      <c r="H92" s="83">
        <f t="shared" si="67"/>
        <v>0</v>
      </c>
    </row>
    <row r="93" spans="1:8">
      <c r="A93" s="87" t="s">
        <v>16</v>
      </c>
      <c r="B93" s="83">
        <f t="shared" si="67"/>
        <v>0</v>
      </c>
      <c r="C93" s="83">
        <f t="shared" si="67"/>
        <v>0</v>
      </c>
      <c r="D93" s="83">
        <f t="shared" si="67"/>
        <v>0</v>
      </c>
      <c r="E93" s="83">
        <f t="shared" si="67"/>
        <v>0</v>
      </c>
      <c r="F93" s="83">
        <f t="shared" si="67"/>
        <v>0</v>
      </c>
      <c r="G93" s="83">
        <f t="shared" si="67"/>
        <v>0</v>
      </c>
      <c r="H93" s="83">
        <f t="shared" si="67"/>
        <v>0</v>
      </c>
    </row>
    <row r="94" spans="1:8">
      <c r="A94" s="75" t="s">
        <v>40</v>
      </c>
      <c r="B94" s="83">
        <f t="shared" si="67"/>
        <v>0</v>
      </c>
      <c r="C94" s="83">
        <f t="shared" si="67"/>
        <v>0</v>
      </c>
      <c r="D94" s="83">
        <f t="shared" si="67"/>
        <v>0</v>
      </c>
      <c r="E94" s="83">
        <f t="shared" si="67"/>
        <v>0</v>
      </c>
      <c r="F94" s="83">
        <f t="shared" si="67"/>
        <v>0</v>
      </c>
      <c r="G94" s="83">
        <f t="shared" si="67"/>
        <v>0</v>
      </c>
      <c r="H94" s="83">
        <f t="shared" si="67"/>
        <v>0</v>
      </c>
    </row>
    <row r="95" spans="1:8">
      <c r="A95" s="92" t="s">
        <v>50</v>
      </c>
      <c r="B95" s="83">
        <f t="shared" si="67"/>
        <v>0</v>
      </c>
      <c r="C95" s="83">
        <f t="shared" si="67"/>
        <v>0</v>
      </c>
      <c r="D95" s="83">
        <f t="shared" si="67"/>
        <v>0</v>
      </c>
      <c r="E95" s="83">
        <f t="shared" si="67"/>
        <v>0</v>
      </c>
      <c r="F95" s="83">
        <f t="shared" si="67"/>
        <v>0</v>
      </c>
      <c r="G95" s="83">
        <f t="shared" si="67"/>
        <v>0</v>
      </c>
      <c r="H95" s="83">
        <f t="shared" si="67"/>
        <v>0</v>
      </c>
    </row>
    <row r="96" spans="1:8">
      <c r="A96" s="75" t="s">
        <v>44</v>
      </c>
      <c r="B96" s="83">
        <f t="shared" si="67"/>
        <v>0</v>
      </c>
      <c r="C96" s="83">
        <f t="shared" si="67"/>
        <v>0</v>
      </c>
      <c r="D96" s="83">
        <f t="shared" si="67"/>
        <v>0</v>
      </c>
      <c r="E96" s="83">
        <f t="shared" si="67"/>
        <v>0</v>
      </c>
      <c r="F96" s="83">
        <f t="shared" si="67"/>
        <v>0</v>
      </c>
      <c r="G96" s="83">
        <f t="shared" si="67"/>
        <v>0</v>
      </c>
      <c r="H96" s="83">
        <f t="shared" si="67"/>
        <v>0</v>
      </c>
    </row>
    <row r="97" spans="1:8">
      <c r="A97" s="75" t="s">
        <v>21</v>
      </c>
      <c r="B97" s="83">
        <f t="shared" si="67"/>
        <v>0</v>
      </c>
      <c r="C97" s="83">
        <f t="shared" si="67"/>
        <v>0</v>
      </c>
      <c r="D97" s="83">
        <f t="shared" si="67"/>
        <v>0</v>
      </c>
      <c r="E97" s="83">
        <f t="shared" si="67"/>
        <v>0</v>
      </c>
      <c r="F97" s="83">
        <f t="shared" si="67"/>
        <v>0</v>
      </c>
      <c r="G97" s="83">
        <f t="shared" si="67"/>
        <v>0</v>
      </c>
      <c r="H97" s="83">
        <f t="shared" si="67"/>
        <v>0</v>
      </c>
    </row>
    <row r="98" spans="1:8">
      <c r="A98" s="75" t="s">
        <v>51</v>
      </c>
      <c r="B98" s="83">
        <f t="shared" si="67"/>
        <v>0</v>
      </c>
      <c r="C98" s="83">
        <f t="shared" si="67"/>
        <v>0</v>
      </c>
      <c r="D98" s="83">
        <f t="shared" si="67"/>
        <v>0</v>
      </c>
      <c r="E98" s="83">
        <f t="shared" si="67"/>
        <v>0</v>
      </c>
      <c r="F98" s="83">
        <f t="shared" si="67"/>
        <v>0</v>
      </c>
      <c r="G98" s="83">
        <f t="shared" si="67"/>
        <v>0</v>
      </c>
      <c r="H98" s="83">
        <f t="shared" si="67"/>
        <v>0</v>
      </c>
    </row>
    <row r="99" spans="1:8">
      <c r="A99" s="75" t="s">
        <v>12</v>
      </c>
      <c r="B99" s="83">
        <f t="shared" ref="B99:H114" si="68">B25-B62</f>
        <v>0</v>
      </c>
      <c r="C99" s="83">
        <f t="shared" si="68"/>
        <v>0</v>
      </c>
      <c r="D99" s="83">
        <f t="shared" si="68"/>
        <v>0</v>
      </c>
      <c r="E99" s="83">
        <f t="shared" si="68"/>
        <v>0</v>
      </c>
      <c r="F99" s="83">
        <f t="shared" si="68"/>
        <v>0</v>
      </c>
      <c r="G99" s="83">
        <f t="shared" si="68"/>
        <v>0</v>
      </c>
      <c r="H99" s="83">
        <f t="shared" si="68"/>
        <v>0</v>
      </c>
    </row>
    <row r="100" spans="1:8">
      <c r="A100" s="75" t="s">
        <v>23</v>
      </c>
      <c r="B100" s="83">
        <f t="shared" si="68"/>
        <v>0</v>
      </c>
      <c r="C100" s="83">
        <f t="shared" si="68"/>
        <v>0</v>
      </c>
      <c r="D100" s="83">
        <f t="shared" si="68"/>
        <v>0</v>
      </c>
      <c r="E100" s="83">
        <f t="shared" si="68"/>
        <v>0</v>
      </c>
      <c r="F100" s="83">
        <f t="shared" si="68"/>
        <v>0</v>
      </c>
      <c r="G100" s="83">
        <f t="shared" si="68"/>
        <v>0</v>
      </c>
      <c r="H100" s="83">
        <f t="shared" si="68"/>
        <v>0</v>
      </c>
    </row>
    <row r="101" spans="1:8">
      <c r="A101" s="75" t="s">
        <v>45</v>
      </c>
      <c r="B101" s="83">
        <f t="shared" si="68"/>
        <v>0</v>
      </c>
      <c r="C101" s="83">
        <f t="shared" si="68"/>
        <v>0</v>
      </c>
      <c r="D101" s="83">
        <f t="shared" si="68"/>
        <v>0</v>
      </c>
      <c r="E101" s="83">
        <f t="shared" si="68"/>
        <v>0</v>
      </c>
      <c r="F101" s="83">
        <f t="shared" si="68"/>
        <v>0</v>
      </c>
      <c r="G101" s="83">
        <f t="shared" si="68"/>
        <v>0</v>
      </c>
      <c r="H101" s="83">
        <f t="shared" si="68"/>
        <v>0</v>
      </c>
    </row>
    <row r="102" spans="1:8">
      <c r="A102" s="75" t="s">
        <v>12</v>
      </c>
      <c r="B102" s="83">
        <f t="shared" si="68"/>
        <v>0</v>
      </c>
      <c r="C102" s="83">
        <f t="shared" si="68"/>
        <v>0</v>
      </c>
      <c r="D102" s="83">
        <f t="shared" si="68"/>
        <v>0</v>
      </c>
      <c r="E102" s="83">
        <f t="shared" si="68"/>
        <v>0</v>
      </c>
      <c r="F102" s="83">
        <f t="shared" si="68"/>
        <v>0</v>
      </c>
      <c r="G102" s="83">
        <f t="shared" si="68"/>
        <v>0</v>
      </c>
      <c r="H102" s="83">
        <f t="shared" si="68"/>
        <v>0</v>
      </c>
    </row>
    <row r="103" spans="1:8">
      <c r="A103" s="75" t="s">
        <v>25</v>
      </c>
      <c r="B103" s="83">
        <f t="shared" si="68"/>
        <v>0</v>
      </c>
      <c r="C103" s="83">
        <f t="shared" si="68"/>
        <v>0</v>
      </c>
      <c r="D103" s="83">
        <f t="shared" si="68"/>
        <v>0</v>
      </c>
      <c r="E103" s="83">
        <f t="shared" si="68"/>
        <v>0</v>
      </c>
      <c r="F103" s="83">
        <f t="shared" si="68"/>
        <v>0</v>
      </c>
      <c r="G103" s="83">
        <f t="shared" si="68"/>
        <v>0</v>
      </c>
      <c r="H103" s="83">
        <f t="shared" si="68"/>
        <v>0</v>
      </c>
    </row>
    <row r="104" spans="1:8">
      <c r="A104" s="75" t="s">
        <v>46</v>
      </c>
      <c r="B104" s="83">
        <f t="shared" si="68"/>
        <v>0</v>
      </c>
      <c r="C104" s="83">
        <f t="shared" si="68"/>
        <v>0</v>
      </c>
      <c r="D104" s="83">
        <f t="shared" si="68"/>
        <v>0</v>
      </c>
      <c r="E104" s="83">
        <f t="shared" si="68"/>
        <v>0</v>
      </c>
      <c r="F104" s="83">
        <f t="shared" si="68"/>
        <v>0</v>
      </c>
      <c r="G104" s="83">
        <f t="shared" si="68"/>
        <v>0</v>
      </c>
      <c r="H104" s="83">
        <f t="shared" si="68"/>
        <v>0</v>
      </c>
    </row>
    <row r="105" spans="1:8">
      <c r="A105" s="75" t="s">
        <v>12</v>
      </c>
      <c r="B105" s="83">
        <f t="shared" si="68"/>
        <v>0</v>
      </c>
      <c r="C105" s="83">
        <f t="shared" si="68"/>
        <v>0</v>
      </c>
      <c r="D105" s="83">
        <f t="shared" si="68"/>
        <v>0</v>
      </c>
      <c r="E105" s="83">
        <f t="shared" si="68"/>
        <v>0</v>
      </c>
      <c r="F105" s="83">
        <f t="shared" si="68"/>
        <v>0</v>
      </c>
      <c r="G105" s="83">
        <f t="shared" si="68"/>
        <v>0</v>
      </c>
      <c r="H105" s="83">
        <f t="shared" si="68"/>
        <v>0</v>
      </c>
    </row>
    <row r="106" spans="1:8">
      <c r="A106" s="75" t="s">
        <v>27</v>
      </c>
      <c r="B106" s="83">
        <f t="shared" si="68"/>
        <v>0</v>
      </c>
      <c r="C106" s="83">
        <f t="shared" si="68"/>
        <v>0</v>
      </c>
      <c r="D106" s="83">
        <f t="shared" si="68"/>
        <v>0</v>
      </c>
      <c r="E106" s="83">
        <f t="shared" si="68"/>
        <v>0</v>
      </c>
      <c r="F106" s="83">
        <f t="shared" si="68"/>
        <v>0</v>
      </c>
      <c r="G106" s="83">
        <f t="shared" si="68"/>
        <v>0</v>
      </c>
      <c r="H106" s="83">
        <f t="shared" si="68"/>
        <v>0</v>
      </c>
    </row>
    <row r="107" spans="1:8">
      <c r="A107" s="75" t="s">
        <v>47</v>
      </c>
      <c r="B107" s="83">
        <f t="shared" si="68"/>
        <v>0</v>
      </c>
      <c r="C107" s="83">
        <f t="shared" si="68"/>
        <v>0</v>
      </c>
      <c r="D107" s="83">
        <f t="shared" si="68"/>
        <v>0</v>
      </c>
      <c r="E107" s="83">
        <f t="shared" si="68"/>
        <v>0</v>
      </c>
      <c r="F107" s="83">
        <f t="shared" si="68"/>
        <v>0</v>
      </c>
      <c r="G107" s="83">
        <f t="shared" si="68"/>
        <v>0</v>
      </c>
      <c r="H107" s="83">
        <f t="shared" si="68"/>
        <v>0</v>
      </c>
    </row>
    <row r="108" spans="1:8">
      <c r="A108" s="75" t="s">
        <v>12</v>
      </c>
      <c r="B108" s="83" t="e">
        <f t="shared" si="68"/>
        <v>#DIV/0!</v>
      </c>
      <c r="C108" s="83" t="e">
        <f t="shared" si="68"/>
        <v>#DIV/0!</v>
      </c>
      <c r="D108" s="83" t="e">
        <f t="shared" si="68"/>
        <v>#DIV/0!</v>
      </c>
      <c r="E108" s="83" t="e">
        <f t="shared" si="68"/>
        <v>#DIV/0!</v>
      </c>
      <c r="F108" s="83" t="e">
        <f t="shared" si="68"/>
        <v>#DIV/0!</v>
      </c>
      <c r="G108" s="83" t="e">
        <f t="shared" si="68"/>
        <v>#DIV/0!</v>
      </c>
      <c r="H108" s="83" t="e">
        <f t="shared" si="68"/>
        <v>#DIV/0!</v>
      </c>
    </row>
    <row r="109" spans="1:8">
      <c r="A109" s="75" t="s">
        <v>29</v>
      </c>
      <c r="B109" s="83">
        <f t="shared" si="68"/>
        <v>0</v>
      </c>
      <c r="C109" s="83">
        <f t="shared" si="68"/>
        <v>0</v>
      </c>
      <c r="D109" s="83">
        <f t="shared" si="68"/>
        <v>0</v>
      </c>
      <c r="E109" s="83">
        <f t="shared" si="68"/>
        <v>0</v>
      </c>
      <c r="F109" s="83">
        <f t="shared" si="68"/>
        <v>0</v>
      </c>
      <c r="G109" s="83">
        <f t="shared" si="68"/>
        <v>0</v>
      </c>
      <c r="H109" s="83">
        <f t="shared" si="68"/>
        <v>0</v>
      </c>
    </row>
    <row r="110" spans="1:8">
      <c r="A110" s="75" t="s">
        <v>48</v>
      </c>
      <c r="B110" s="83">
        <f t="shared" si="68"/>
        <v>0</v>
      </c>
      <c r="C110" s="83">
        <f t="shared" si="68"/>
        <v>0</v>
      </c>
      <c r="D110" s="83">
        <f t="shared" si="68"/>
        <v>0</v>
      </c>
      <c r="E110" s="83">
        <f t="shared" si="68"/>
        <v>0</v>
      </c>
      <c r="F110" s="83">
        <f t="shared" si="68"/>
        <v>0</v>
      </c>
      <c r="G110" s="83">
        <f t="shared" si="68"/>
        <v>0</v>
      </c>
      <c r="H110" s="83">
        <f t="shared" si="68"/>
        <v>0</v>
      </c>
    </row>
    <row r="111" spans="1:8">
      <c r="A111" s="75" t="s">
        <v>12</v>
      </c>
      <c r="B111" s="83">
        <f t="shared" si="68"/>
        <v>0</v>
      </c>
      <c r="C111" s="83">
        <f t="shared" si="68"/>
        <v>0</v>
      </c>
      <c r="D111" s="83">
        <f t="shared" si="68"/>
        <v>0</v>
      </c>
      <c r="E111" s="83" t="e">
        <f t="shared" si="68"/>
        <v>#DIV/0!</v>
      </c>
      <c r="F111" s="83">
        <f t="shared" si="68"/>
        <v>0</v>
      </c>
      <c r="G111" s="83">
        <f t="shared" si="68"/>
        <v>0</v>
      </c>
      <c r="H111" s="83">
        <f t="shared" si="68"/>
        <v>0</v>
      </c>
    </row>
    <row r="112" spans="1:8">
      <c r="A112" s="75" t="s">
        <v>31</v>
      </c>
      <c r="B112" s="83">
        <f t="shared" si="68"/>
        <v>0</v>
      </c>
      <c r="C112" s="83">
        <f t="shared" si="68"/>
        <v>0</v>
      </c>
      <c r="D112" s="83">
        <f t="shared" si="68"/>
        <v>0</v>
      </c>
      <c r="E112" s="83">
        <f t="shared" si="68"/>
        <v>0</v>
      </c>
      <c r="F112" s="83">
        <f t="shared" si="68"/>
        <v>0</v>
      </c>
      <c r="G112" s="83">
        <f t="shared" si="68"/>
        <v>0</v>
      </c>
      <c r="H112" s="83">
        <f t="shared" si="68"/>
        <v>0</v>
      </c>
    </row>
    <row r="113" spans="1:8">
      <c r="A113" s="75" t="s">
        <v>52</v>
      </c>
      <c r="B113" s="83">
        <f t="shared" si="68"/>
        <v>0</v>
      </c>
      <c r="C113" s="83">
        <f t="shared" si="68"/>
        <v>0</v>
      </c>
      <c r="D113" s="83">
        <f t="shared" si="68"/>
        <v>0</v>
      </c>
      <c r="E113" s="83">
        <f t="shared" si="68"/>
        <v>0</v>
      </c>
      <c r="F113" s="83">
        <f t="shared" si="68"/>
        <v>0</v>
      </c>
      <c r="G113" s="83">
        <f t="shared" si="68"/>
        <v>0</v>
      </c>
      <c r="H113" s="83">
        <f t="shared" si="68"/>
        <v>0</v>
      </c>
    </row>
    <row r="114" spans="1:8">
      <c r="A114" s="75" t="s">
        <v>12</v>
      </c>
      <c r="B114" s="83">
        <f t="shared" si="68"/>
        <v>0</v>
      </c>
      <c r="C114" s="83">
        <f t="shared" si="68"/>
        <v>0</v>
      </c>
      <c r="D114" s="83">
        <f t="shared" si="68"/>
        <v>0</v>
      </c>
      <c r="E114" s="83">
        <f t="shared" si="68"/>
        <v>0</v>
      </c>
      <c r="F114" s="83">
        <f t="shared" si="68"/>
        <v>0</v>
      </c>
      <c r="G114" s="83">
        <f t="shared" si="68"/>
        <v>0</v>
      </c>
      <c r="H114" s="83">
        <f t="shared" si="68"/>
        <v>0</v>
      </c>
    </row>
  </sheetData>
  <mergeCells count="25">
    <mergeCell ref="A12:H12"/>
    <mergeCell ref="J12:Q12"/>
    <mergeCell ref="AM42:AQ42"/>
    <mergeCell ref="AM43:AQ43"/>
    <mergeCell ref="B1:H1"/>
    <mergeCell ref="B2:H2"/>
    <mergeCell ref="A5:H5"/>
    <mergeCell ref="AJ12:AQ12"/>
    <mergeCell ref="A4:H4"/>
    <mergeCell ref="A8:H8"/>
    <mergeCell ref="J8:Q8"/>
    <mergeCell ref="AJ19:AQ19"/>
    <mergeCell ref="AJ8:AQ8"/>
    <mergeCell ref="AA8:AH8"/>
    <mergeCell ref="A19:H19"/>
    <mergeCell ref="J19:Q19"/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</mergeCells>
  <phoneticPr fontId="17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/>
  <dimension ref="A1:AQ114"/>
  <sheetViews>
    <sheetView topLeftCell="A67" zoomScaleNormal="100" workbookViewId="0">
      <selection activeCell="A9" sqref="A9:AQ40"/>
    </sheetView>
  </sheetViews>
  <sheetFormatPr defaultRowHeight="13.2"/>
  <cols>
    <col min="1" max="1" width="15.33203125" customWidth="1"/>
    <col min="2" max="2" width="7.5546875" customWidth="1"/>
    <col min="3" max="3" width="8.33203125" customWidth="1"/>
    <col min="5" max="5" width="7" customWidth="1"/>
    <col min="6" max="6" width="8" customWidth="1"/>
    <col min="7" max="7" width="7.88671875" customWidth="1"/>
    <col min="8" max="8" width="7.109375" customWidth="1"/>
    <col min="9" max="9" width="4.33203125" customWidth="1"/>
    <col min="10" max="10" width="14.5546875" customWidth="1"/>
    <col min="11" max="11" width="6.88671875" customWidth="1"/>
    <col min="12" max="12" width="8.109375" customWidth="1"/>
    <col min="14" max="14" width="12.5546875" customWidth="1"/>
    <col min="17" max="17" width="6.88671875" customWidth="1"/>
    <col min="18" max="18" width="10.88671875" customWidth="1"/>
    <col min="19" max="19" width="15" customWidth="1"/>
    <col min="20" max="20" width="7.109375" customWidth="1"/>
    <col min="23" max="23" width="6.6640625" customWidth="1"/>
    <col min="26" max="26" width="6.88671875" customWidth="1"/>
    <col min="27" max="27" width="13.33203125" customWidth="1"/>
    <col min="28" max="28" width="15" customWidth="1"/>
    <col min="29" max="29" width="6.33203125" customWidth="1"/>
    <col min="32" max="32" width="6.88671875" customWidth="1"/>
    <col min="33" max="33" width="7.6640625" customWidth="1"/>
    <col min="34" max="34" width="8" customWidth="1"/>
    <col min="35" max="35" width="5.6640625" customWidth="1"/>
    <col min="36" max="36" width="12.33203125" customWidth="1"/>
    <col min="37" max="37" width="14.5546875" customWidth="1"/>
  </cols>
  <sheetData>
    <row r="1" spans="1:43" ht="15.6" customHeight="1">
      <c r="A1" s="256"/>
      <c r="B1" s="483" t="s">
        <v>68</v>
      </c>
      <c r="C1" s="483"/>
      <c r="D1" s="483"/>
      <c r="E1" s="483"/>
      <c r="F1" s="483"/>
      <c r="G1" s="483"/>
      <c r="H1" s="48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257"/>
      <c r="B2" s="484" t="s">
        <v>69</v>
      </c>
      <c r="C2" s="484"/>
      <c r="D2" s="484"/>
      <c r="E2" s="484"/>
      <c r="F2" s="484"/>
      <c r="G2" s="484"/>
      <c r="H2" s="48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257"/>
      <c r="B3" s="257"/>
      <c r="C3" s="255"/>
      <c r="D3" s="258"/>
      <c r="E3" s="259"/>
      <c r="F3" s="259"/>
      <c r="G3" s="259"/>
      <c r="H3" s="259"/>
      <c r="J3" s="40"/>
      <c r="K3" s="12"/>
      <c r="L3" s="12"/>
      <c r="M3" s="12"/>
      <c r="N3" s="12"/>
      <c r="O3" s="12"/>
      <c r="P3" s="12"/>
      <c r="Q3" s="12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.6" customHeight="1">
      <c r="A4" s="487" t="s">
        <v>56</v>
      </c>
      <c r="B4" s="487"/>
      <c r="C4" s="487"/>
      <c r="D4" s="487"/>
      <c r="E4" s="487"/>
      <c r="F4" s="487"/>
      <c r="G4" s="487"/>
      <c r="H4" s="487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485" t="s">
        <v>70</v>
      </c>
      <c r="B5" s="485"/>
      <c r="C5" s="485"/>
      <c r="D5" s="485"/>
      <c r="E5" s="485"/>
      <c r="F5" s="485"/>
      <c r="G5" s="485"/>
      <c r="H5" s="485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</row>
    <row r="8" spans="1:43">
      <c r="A8" s="467" t="s">
        <v>17</v>
      </c>
      <c r="B8" s="468"/>
      <c r="C8" s="468"/>
      <c r="D8" s="468"/>
      <c r="E8" s="468"/>
      <c r="F8" s="468"/>
      <c r="G8" s="468"/>
      <c r="H8" s="469"/>
      <c r="J8" s="467" t="s">
        <v>17</v>
      </c>
      <c r="K8" s="468"/>
      <c r="L8" s="468"/>
      <c r="M8" s="468"/>
      <c r="N8" s="468"/>
      <c r="O8" s="468"/>
      <c r="P8" s="468"/>
      <c r="Q8" s="469"/>
      <c r="R8" s="467" t="s">
        <v>17</v>
      </c>
      <c r="S8" s="468"/>
      <c r="T8" s="468"/>
      <c r="U8" s="468"/>
      <c r="V8" s="468"/>
      <c r="W8" s="468"/>
      <c r="X8" s="468"/>
      <c r="Y8" s="469"/>
      <c r="Z8" s="188"/>
      <c r="AA8" s="473" t="s">
        <v>17</v>
      </c>
      <c r="AB8" s="473"/>
      <c r="AC8" s="473"/>
      <c r="AD8" s="473"/>
      <c r="AE8" s="473"/>
      <c r="AF8" s="473"/>
      <c r="AG8" s="473"/>
      <c r="AH8" s="473"/>
      <c r="AI8" s="188"/>
      <c r="AJ8" s="473" t="s">
        <v>17</v>
      </c>
      <c r="AK8" s="473"/>
      <c r="AL8" s="473"/>
      <c r="AM8" s="473"/>
      <c r="AN8" s="473"/>
      <c r="AO8" s="473"/>
      <c r="AP8" s="473"/>
      <c r="AQ8" s="473"/>
    </row>
    <row r="9" spans="1:43">
      <c r="A9" s="283" t="s">
        <v>18</v>
      </c>
      <c r="B9" s="283">
        <f>B13+B20</f>
        <v>742.2</v>
      </c>
      <c r="C9" s="283">
        <f t="shared" ref="C9:H10" si="0">C13+C20</f>
        <v>43015</v>
      </c>
      <c r="D9" s="283">
        <f t="shared" si="0"/>
        <v>35025</v>
      </c>
      <c r="E9" s="283">
        <f t="shared" si="0"/>
        <v>7011</v>
      </c>
      <c r="F9" s="283">
        <f t="shared" si="0"/>
        <v>6187</v>
      </c>
      <c r="G9" s="283">
        <f t="shared" si="0"/>
        <v>4071</v>
      </c>
      <c r="H9" s="283">
        <f t="shared" si="0"/>
        <v>17756</v>
      </c>
      <c r="I9" s="284"/>
      <c r="J9" s="285" t="s">
        <v>18</v>
      </c>
      <c r="K9" s="286">
        <f>K13+K20</f>
        <v>306</v>
      </c>
      <c r="L9" s="285">
        <f t="shared" ref="L9:Q10" si="1">L13+L20</f>
        <v>14180</v>
      </c>
      <c r="M9" s="285">
        <f t="shared" si="1"/>
        <v>11274</v>
      </c>
      <c r="N9" s="285">
        <f t="shared" si="1"/>
        <v>2070</v>
      </c>
      <c r="O9" s="285">
        <f t="shared" si="1"/>
        <v>3231</v>
      </c>
      <c r="P9" s="285">
        <f t="shared" si="1"/>
        <v>1535</v>
      </c>
      <c r="Q9" s="285">
        <f t="shared" si="1"/>
        <v>4438</v>
      </c>
      <c r="R9" s="285" t="s">
        <v>18</v>
      </c>
      <c r="S9" s="285">
        <f>S13+S20</f>
        <v>356</v>
      </c>
      <c r="T9" s="285">
        <f t="shared" ref="T9:Y10" si="2">T13+T20</f>
        <v>23740</v>
      </c>
      <c r="U9" s="285">
        <f t="shared" si="2"/>
        <v>19673</v>
      </c>
      <c r="V9" s="285">
        <f t="shared" si="2"/>
        <v>4538</v>
      </c>
      <c r="W9" s="285">
        <f t="shared" si="2"/>
        <v>1929</v>
      </c>
      <c r="X9" s="285">
        <f t="shared" si="2"/>
        <v>2098</v>
      </c>
      <c r="Y9" s="285">
        <f t="shared" si="2"/>
        <v>11108</v>
      </c>
      <c r="Z9" s="303"/>
      <c r="AA9" s="285" t="s">
        <v>18</v>
      </c>
      <c r="AB9" s="285">
        <f t="shared" ref="AB9:AH10" si="3">AB13+AB20</f>
        <v>157</v>
      </c>
      <c r="AC9" s="285">
        <f t="shared" si="3"/>
        <v>13045</v>
      </c>
      <c r="AD9" s="285">
        <f t="shared" si="3"/>
        <v>11151</v>
      </c>
      <c r="AE9" s="285">
        <f t="shared" si="3"/>
        <v>4065</v>
      </c>
      <c r="AF9" s="285">
        <f t="shared" si="3"/>
        <v>1220</v>
      </c>
      <c r="AG9" s="285">
        <f t="shared" si="3"/>
        <v>836</v>
      </c>
      <c r="AH9" s="285">
        <f t="shared" si="3"/>
        <v>5030</v>
      </c>
      <c r="AI9" s="303"/>
      <c r="AJ9" s="285" t="s">
        <v>18</v>
      </c>
      <c r="AK9" s="287">
        <f>AK13+AK20</f>
        <v>80.2</v>
      </c>
      <c r="AL9" s="285">
        <f t="shared" ref="AL9:AQ10" si="4">AL13+AL20</f>
        <v>5095</v>
      </c>
      <c r="AM9" s="285">
        <f t="shared" si="4"/>
        <v>4078</v>
      </c>
      <c r="AN9" s="285">
        <f t="shared" si="4"/>
        <v>403</v>
      </c>
      <c r="AO9" s="285">
        <f t="shared" si="4"/>
        <v>1027</v>
      </c>
      <c r="AP9" s="285">
        <f t="shared" si="4"/>
        <v>438</v>
      </c>
      <c r="AQ9" s="285">
        <f t="shared" si="4"/>
        <v>2210</v>
      </c>
    </row>
    <row r="10" spans="1:43">
      <c r="A10" s="288" t="s">
        <v>19</v>
      </c>
      <c r="B10" s="289">
        <f>B14+B21</f>
        <v>415.3</v>
      </c>
      <c r="C10" s="283">
        <f t="shared" si="0"/>
        <v>26179</v>
      </c>
      <c r="D10" s="283">
        <f t="shared" si="0"/>
        <v>22595</v>
      </c>
      <c r="E10" s="283">
        <f t="shared" si="0"/>
        <v>4203</v>
      </c>
      <c r="F10" s="283">
        <f t="shared" si="0"/>
        <v>1576</v>
      </c>
      <c r="G10" s="283">
        <f t="shared" si="0"/>
        <v>224</v>
      </c>
      <c r="H10" s="289">
        <f>H14+H21</f>
        <v>16592</v>
      </c>
      <c r="I10" s="284"/>
      <c r="J10" s="285" t="s">
        <v>19</v>
      </c>
      <c r="K10" s="286">
        <f>K14+K21</f>
        <v>207.5</v>
      </c>
      <c r="L10" s="286">
        <f>L14+L21</f>
        <v>10870</v>
      </c>
      <c r="M10" s="286">
        <f t="shared" si="1"/>
        <v>9243</v>
      </c>
      <c r="N10" s="286">
        <f t="shared" si="1"/>
        <v>2159</v>
      </c>
      <c r="O10" s="286">
        <f t="shared" si="1"/>
        <v>869</v>
      </c>
      <c r="P10" s="286">
        <f t="shared" si="1"/>
        <v>34</v>
      </c>
      <c r="Q10" s="286">
        <f t="shared" si="1"/>
        <v>6181</v>
      </c>
      <c r="R10" s="285" t="s">
        <v>19</v>
      </c>
      <c r="S10" s="286">
        <f>S14+S21</f>
        <v>207.6</v>
      </c>
      <c r="T10" s="286">
        <f t="shared" si="2"/>
        <v>15277</v>
      </c>
      <c r="U10" s="286">
        <f t="shared" si="2"/>
        <v>13323</v>
      </c>
      <c r="V10" s="286">
        <f t="shared" si="2"/>
        <v>2039</v>
      </c>
      <c r="W10" s="286">
        <f t="shared" si="2"/>
        <v>703</v>
      </c>
      <c r="X10" s="286">
        <f t="shared" si="2"/>
        <v>190</v>
      </c>
      <c r="Y10" s="286">
        <f t="shared" si="2"/>
        <v>10391</v>
      </c>
      <c r="Z10" s="303"/>
      <c r="AA10" s="285" t="s">
        <v>19</v>
      </c>
      <c r="AB10" s="286">
        <f>AB14+AB21</f>
        <v>100.4</v>
      </c>
      <c r="AC10" s="285">
        <f t="shared" si="3"/>
        <v>8669</v>
      </c>
      <c r="AD10" s="285">
        <f t="shared" si="3"/>
        <v>6867</v>
      </c>
      <c r="AE10" s="285">
        <f t="shared" si="3"/>
        <v>1815</v>
      </c>
      <c r="AF10" s="285">
        <f t="shared" si="3"/>
        <v>591</v>
      </c>
      <c r="AG10" s="285">
        <f t="shared" si="3"/>
        <v>167</v>
      </c>
      <c r="AH10" s="285">
        <f t="shared" si="3"/>
        <v>4294</v>
      </c>
      <c r="AI10" s="303"/>
      <c r="AJ10" s="285" t="s">
        <v>19</v>
      </c>
      <c r="AK10" s="286">
        <f>AK14+AK21</f>
        <v>0.2</v>
      </c>
      <c r="AL10" s="285">
        <f t="shared" si="4"/>
        <v>32</v>
      </c>
      <c r="AM10" s="285">
        <f t="shared" si="4"/>
        <v>29</v>
      </c>
      <c r="AN10" s="285">
        <f t="shared" si="4"/>
        <v>5</v>
      </c>
      <c r="AO10" s="285">
        <f t="shared" si="4"/>
        <v>4</v>
      </c>
      <c r="AP10" s="285">
        <f t="shared" si="4"/>
        <v>0</v>
      </c>
      <c r="AQ10" s="285">
        <f t="shared" si="4"/>
        <v>20</v>
      </c>
    </row>
    <row r="11" spans="1:43">
      <c r="A11" s="283" t="s">
        <v>20</v>
      </c>
      <c r="B11" s="290">
        <f t="shared" ref="B11:H11" si="5">B10/B9*100</f>
        <v>55.955268121800053</v>
      </c>
      <c r="C11" s="290">
        <f t="shared" si="5"/>
        <v>60.860165058700453</v>
      </c>
      <c r="D11" s="290">
        <f t="shared" si="5"/>
        <v>64.511063526052808</v>
      </c>
      <c r="E11" s="290">
        <f t="shared" si="5"/>
        <v>59.948652118100135</v>
      </c>
      <c r="F11" s="290">
        <f t="shared" si="5"/>
        <v>25.47276547599806</v>
      </c>
      <c r="G11" s="290">
        <f t="shared" si="5"/>
        <v>5.5023335789732251</v>
      </c>
      <c r="H11" s="290">
        <f t="shared" si="5"/>
        <v>93.444469475107013</v>
      </c>
      <c r="I11" s="284"/>
      <c r="J11" s="285" t="s">
        <v>20</v>
      </c>
      <c r="K11" s="291">
        <f t="shared" ref="K11:Q11" si="6">K10/K9*100</f>
        <v>67.810457516339866</v>
      </c>
      <c r="L11" s="291">
        <f t="shared" si="6"/>
        <v>76.657263751763054</v>
      </c>
      <c r="M11" s="291">
        <f t="shared" si="6"/>
        <v>81.985098456625863</v>
      </c>
      <c r="N11" s="291">
        <f t="shared" si="6"/>
        <v>104.29951690821255</v>
      </c>
      <c r="O11" s="291">
        <f t="shared" si="6"/>
        <v>26.895697926338595</v>
      </c>
      <c r="P11" s="291">
        <f t="shared" si="6"/>
        <v>2.214983713355049</v>
      </c>
      <c r="Q11" s="291">
        <f t="shared" si="6"/>
        <v>139.2744479495268</v>
      </c>
      <c r="R11" s="285" t="s">
        <v>20</v>
      </c>
      <c r="S11" s="291">
        <f t="shared" ref="S11:Y11" si="7">S10/S9*100</f>
        <v>58.31460674157303</v>
      </c>
      <c r="T11" s="291">
        <f t="shared" si="7"/>
        <v>64.351305812973877</v>
      </c>
      <c r="U11" s="291">
        <f t="shared" si="7"/>
        <v>67.722258933563779</v>
      </c>
      <c r="V11" s="291">
        <f t="shared" si="7"/>
        <v>44.931687968267958</v>
      </c>
      <c r="W11" s="291">
        <f t="shared" si="7"/>
        <v>36.44375324002074</v>
      </c>
      <c r="X11" s="291">
        <f t="shared" si="7"/>
        <v>9.0562440419447103</v>
      </c>
      <c r="Y11" s="291">
        <f t="shared" si="7"/>
        <v>93.545192653943104</v>
      </c>
      <c r="Z11" s="304"/>
      <c r="AA11" s="285" t="s">
        <v>20</v>
      </c>
      <c r="AB11" s="291">
        <f t="shared" ref="AB11:AH11" si="8">AB10/AB9*100</f>
        <v>63.949044585987266</v>
      </c>
      <c r="AC11" s="291">
        <f t="shared" si="8"/>
        <v>66.454580298965112</v>
      </c>
      <c r="AD11" s="291">
        <f t="shared" si="8"/>
        <v>61.581920903954803</v>
      </c>
      <c r="AE11" s="291">
        <f t="shared" si="8"/>
        <v>44.649446494464947</v>
      </c>
      <c r="AF11" s="291">
        <f t="shared" si="8"/>
        <v>48.442622950819676</v>
      </c>
      <c r="AG11" s="291">
        <f t="shared" si="8"/>
        <v>19.976076555023923</v>
      </c>
      <c r="AH11" s="291">
        <f t="shared" si="8"/>
        <v>85.367793240556651</v>
      </c>
      <c r="AI11" s="304"/>
      <c r="AJ11" s="285" t="s">
        <v>20</v>
      </c>
      <c r="AK11" s="291">
        <f t="shared" ref="AK11:AQ11" si="9">AK10/AK9*100</f>
        <v>0.24937655860349126</v>
      </c>
      <c r="AL11" s="291">
        <f t="shared" si="9"/>
        <v>0.62806673209028463</v>
      </c>
      <c r="AM11" s="291">
        <f t="shared" si="9"/>
        <v>0.71113290828837661</v>
      </c>
      <c r="AN11" s="291">
        <f t="shared" si="9"/>
        <v>1.240694789081886</v>
      </c>
      <c r="AO11" s="291">
        <f t="shared" si="9"/>
        <v>0.38948393378773127</v>
      </c>
      <c r="AP11" s="291">
        <f t="shared" si="9"/>
        <v>0</v>
      </c>
      <c r="AQ11" s="291">
        <f t="shared" si="9"/>
        <v>0.90497737556561098</v>
      </c>
    </row>
    <row r="12" spans="1:43">
      <c r="A12" s="488" t="s">
        <v>11</v>
      </c>
      <c r="B12" s="489"/>
      <c r="C12" s="489"/>
      <c r="D12" s="489"/>
      <c r="E12" s="489"/>
      <c r="F12" s="489"/>
      <c r="G12" s="489"/>
      <c r="H12" s="490"/>
      <c r="I12" s="284"/>
      <c r="J12" s="491" t="s">
        <v>11</v>
      </c>
      <c r="K12" s="492"/>
      <c r="L12" s="492"/>
      <c r="M12" s="492"/>
      <c r="N12" s="492"/>
      <c r="O12" s="492"/>
      <c r="P12" s="492"/>
      <c r="Q12" s="493"/>
      <c r="R12" s="491" t="s">
        <v>11</v>
      </c>
      <c r="S12" s="492"/>
      <c r="T12" s="492"/>
      <c r="U12" s="492"/>
      <c r="V12" s="492"/>
      <c r="W12" s="492"/>
      <c r="X12" s="492"/>
      <c r="Y12" s="493"/>
      <c r="Z12" s="305"/>
      <c r="AA12" s="486" t="s">
        <v>11</v>
      </c>
      <c r="AB12" s="486"/>
      <c r="AC12" s="486"/>
      <c r="AD12" s="486"/>
      <c r="AE12" s="486"/>
      <c r="AF12" s="486"/>
      <c r="AG12" s="486"/>
      <c r="AH12" s="486"/>
      <c r="AI12" s="305"/>
      <c r="AJ12" s="486" t="s">
        <v>11</v>
      </c>
      <c r="AK12" s="486"/>
      <c r="AL12" s="486"/>
      <c r="AM12" s="486"/>
      <c r="AN12" s="486"/>
      <c r="AO12" s="486"/>
      <c r="AP12" s="486"/>
      <c r="AQ12" s="486"/>
    </row>
    <row r="13" spans="1:43">
      <c r="A13" s="292" t="s">
        <v>18</v>
      </c>
      <c r="B13" s="293">
        <f>K13+S13+AK13</f>
        <v>211</v>
      </c>
      <c r="C13" s="293">
        <f>L13+T13+AL13</f>
        <v>12760</v>
      </c>
      <c r="D13" s="293">
        <f>E13+F13+G13+H13</f>
        <v>10021</v>
      </c>
      <c r="E13" s="293">
        <f t="shared" ref="E13:H14" si="10">N13+V13+AN13</f>
        <v>2052</v>
      </c>
      <c r="F13" s="293">
        <f t="shared" si="10"/>
        <v>3416</v>
      </c>
      <c r="G13" s="293">
        <f t="shared" si="10"/>
        <v>1397</v>
      </c>
      <c r="H13" s="293">
        <f t="shared" si="10"/>
        <v>3156</v>
      </c>
      <c r="I13" s="284"/>
      <c r="J13" s="294" t="s">
        <v>18</v>
      </c>
      <c r="K13" s="295">
        <v>106</v>
      </c>
      <c r="L13" s="295">
        <v>5955</v>
      </c>
      <c r="M13" s="295">
        <f>N13+O13+P13+Q13</f>
        <v>4420</v>
      </c>
      <c r="N13" s="295">
        <v>891</v>
      </c>
      <c r="O13" s="295">
        <v>1850</v>
      </c>
      <c r="P13" s="295">
        <v>762</v>
      </c>
      <c r="Q13" s="295">
        <v>917</v>
      </c>
      <c r="R13" s="294" t="s">
        <v>18</v>
      </c>
      <c r="S13" s="295">
        <v>42</v>
      </c>
      <c r="T13" s="295">
        <v>3130</v>
      </c>
      <c r="U13" s="295">
        <f>V13+W13+X13+Y13</f>
        <v>2585</v>
      </c>
      <c r="V13" s="295">
        <v>805</v>
      </c>
      <c r="W13" s="295">
        <v>675</v>
      </c>
      <c r="X13" s="295">
        <v>439</v>
      </c>
      <c r="Y13" s="295">
        <v>666</v>
      </c>
      <c r="Z13" s="306"/>
      <c r="AA13" s="294" t="s">
        <v>18</v>
      </c>
      <c r="AB13" s="295">
        <v>42</v>
      </c>
      <c r="AC13" s="295">
        <v>3130</v>
      </c>
      <c r="AD13" s="295">
        <f>AE13+AF13+AG13+AH13</f>
        <v>2585</v>
      </c>
      <c r="AE13" s="295">
        <v>805</v>
      </c>
      <c r="AF13" s="295">
        <v>675</v>
      </c>
      <c r="AG13" s="295">
        <v>439</v>
      </c>
      <c r="AH13" s="295">
        <v>666</v>
      </c>
      <c r="AI13" s="306"/>
      <c r="AJ13" s="294" t="s">
        <v>18</v>
      </c>
      <c r="AK13" s="291">
        <v>63</v>
      </c>
      <c r="AL13" s="295">
        <v>3675</v>
      </c>
      <c r="AM13" s="295">
        <f>AN13+AO13+AP13+AQ13</f>
        <v>3016</v>
      </c>
      <c r="AN13" s="295">
        <v>356</v>
      </c>
      <c r="AO13" s="295">
        <v>891</v>
      </c>
      <c r="AP13" s="295">
        <v>196</v>
      </c>
      <c r="AQ13" s="295">
        <v>1573</v>
      </c>
    </row>
    <row r="14" spans="1:43">
      <c r="A14" s="292" t="s">
        <v>19</v>
      </c>
      <c r="B14" s="299">
        <f>K14+S14+AK14</f>
        <v>119.10000000000001</v>
      </c>
      <c r="C14" s="299">
        <f>L14+T14+AL14</f>
        <v>8120</v>
      </c>
      <c r="D14" s="299">
        <f>M14+U14+AM14</f>
        <v>6529</v>
      </c>
      <c r="E14" s="299">
        <f t="shared" si="10"/>
        <v>2118</v>
      </c>
      <c r="F14" s="299">
        <f t="shared" si="10"/>
        <v>1098</v>
      </c>
      <c r="G14" s="299">
        <f t="shared" si="10"/>
        <v>23</v>
      </c>
      <c r="H14" s="299">
        <f t="shared" si="10"/>
        <v>3290</v>
      </c>
      <c r="I14" s="284"/>
      <c r="J14" s="292" t="s">
        <v>19</v>
      </c>
      <c r="K14" s="307">
        <f>94.3</f>
        <v>94.3</v>
      </c>
      <c r="L14" s="307">
        <f>5780</f>
        <v>5780</v>
      </c>
      <c r="M14" s="307">
        <f>4519</f>
        <v>4519</v>
      </c>
      <c r="N14" s="307">
        <f>1425</f>
        <v>1425</v>
      </c>
      <c r="O14" s="307">
        <f>768</f>
        <v>768</v>
      </c>
      <c r="P14" s="307">
        <f>20</f>
        <v>20</v>
      </c>
      <c r="Q14" s="307">
        <f>2306</f>
        <v>2306</v>
      </c>
      <c r="R14" s="292" t="s">
        <v>19</v>
      </c>
      <c r="S14" s="299">
        <f>24.6</f>
        <v>24.6</v>
      </c>
      <c r="T14" s="293">
        <f>2308</f>
        <v>2308</v>
      </c>
      <c r="U14" s="295">
        <f>1981</f>
        <v>1981</v>
      </c>
      <c r="V14" s="293">
        <f>688</f>
        <v>688</v>
      </c>
      <c r="W14" s="293">
        <f>326</f>
        <v>326</v>
      </c>
      <c r="X14" s="293">
        <f>3</f>
        <v>3</v>
      </c>
      <c r="Y14" s="293">
        <f>964</f>
        <v>964</v>
      </c>
      <c r="Z14" s="308"/>
      <c r="AA14" s="292" t="s">
        <v>19</v>
      </c>
      <c r="AB14" s="299">
        <f>24.6</f>
        <v>24.6</v>
      </c>
      <c r="AC14" s="293">
        <f>2308</f>
        <v>2308</v>
      </c>
      <c r="AD14" s="295">
        <f>1981</f>
        <v>1981</v>
      </c>
      <c r="AE14" s="293">
        <f>688</f>
        <v>688</v>
      </c>
      <c r="AF14" s="293">
        <f>326</f>
        <v>326</v>
      </c>
      <c r="AG14" s="293">
        <f>3</f>
        <v>3</v>
      </c>
      <c r="AH14" s="293">
        <f>964</f>
        <v>964</v>
      </c>
      <c r="AI14" s="308"/>
      <c r="AJ14" s="292" t="s">
        <v>19</v>
      </c>
      <c r="AK14" s="299">
        <f>0.2</f>
        <v>0.2</v>
      </c>
      <c r="AL14" s="293">
        <f>32</f>
        <v>32</v>
      </c>
      <c r="AM14" s="293">
        <f>29</f>
        <v>29</v>
      </c>
      <c r="AN14" s="293">
        <f>5</f>
        <v>5</v>
      </c>
      <c r="AO14" s="293">
        <f>4</f>
        <v>4</v>
      </c>
      <c r="AP14" s="293">
        <f>0</f>
        <v>0</v>
      </c>
      <c r="AQ14" s="293">
        <f>20</f>
        <v>20</v>
      </c>
    </row>
    <row r="15" spans="1:43">
      <c r="A15" s="292" t="s">
        <v>20</v>
      </c>
      <c r="B15" s="290">
        <f>B14/B13*100</f>
        <v>56.445497630331751</v>
      </c>
      <c r="C15" s="290">
        <f t="shared" ref="C15:H15" si="11">C14/C13*100</f>
        <v>63.636363636363633</v>
      </c>
      <c r="D15" s="290">
        <f>D14/D13*100</f>
        <v>65.153178325516421</v>
      </c>
      <c r="E15" s="290">
        <f t="shared" si="11"/>
        <v>103.21637426900585</v>
      </c>
      <c r="F15" s="290">
        <f t="shared" si="11"/>
        <v>32.142857142857146</v>
      </c>
      <c r="G15" s="290">
        <f t="shared" si="11"/>
        <v>1.6463851109520402</v>
      </c>
      <c r="H15" s="290">
        <f t="shared" si="11"/>
        <v>104.24588086185045</v>
      </c>
      <c r="I15" s="284"/>
      <c r="J15" s="294" t="s">
        <v>20</v>
      </c>
      <c r="K15" s="291">
        <f t="shared" ref="K15:P15" si="12">K14/K13*100</f>
        <v>88.962264150943398</v>
      </c>
      <c r="L15" s="291">
        <f>L14/L13*100</f>
        <v>97.061293031066327</v>
      </c>
      <c r="M15" s="291">
        <f t="shared" si="12"/>
        <v>102.23981900452488</v>
      </c>
      <c r="N15" s="291">
        <f t="shared" si="12"/>
        <v>159.93265993265993</v>
      </c>
      <c r="O15" s="291">
        <f t="shared" si="12"/>
        <v>41.513513513513509</v>
      </c>
      <c r="P15" s="291">
        <f t="shared" si="12"/>
        <v>2.6246719160104988</v>
      </c>
      <c r="Q15" s="291">
        <f>Q14/Q13*100</f>
        <v>251.4721919302072</v>
      </c>
      <c r="R15" s="294" t="s">
        <v>20</v>
      </c>
      <c r="S15" s="291">
        <f t="shared" ref="S15:Y15" si="13">S14/S13*100</f>
        <v>58.571428571428577</v>
      </c>
      <c r="T15" s="291">
        <f t="shared" si="13"/>
        <v>73.738019169329078</v>
      </c>
      <c r="U15" s="291">
        <f t="shared" si="13"/>
        <v>76.63442940038685</v>
      </c>
      <c r="V15" s="291">
        <f t="shared" si="13"/>
        <v>85.465838509316768</v>
      </c>
      <c r="W15" s="291">
        <f t="shared" si="13"/>
        <v>48.296296296296298</v>
      </c>
      <c r="X15" s="291">
        <f t="shared" si="13"/>
        <v>0.68337129840546695</v>
      </c>
      <c r="Y15" s="291">
        <f t="shared" si="13"/>
        <v>144.74474474474474</v>
      </c>
      <c r="Z15" s="304"/>
      <c r="AA15" s="294" t="s">
        <v>20</v>
      </c>
      <c r="AB15" s="291">
        <f t="shared" ref="AB15:AH15" si="14">AB14/AB13*100</f>
        <v>58.571428571428577</v>
      </c>
      <c r="AC15" s="291">
        <f t="shared" si="14"/>
        <v>73.738019169329078</v>
      </c>
      <c r="AD15" s="291">
        <f>AD14/AD13*100</f>
        <v>76.63442940038685</v>
      </c>
      <c r="AE15" s="291">
        <f t="shared" si="14"/>
        <v>85.465838509316768</v>
      </c>
      <c r="AF15" s="291">
        <f t="shared" si="14"/>
        <v>48.296296296296298</v>
      </c>
      <c r="AG15" s="291">
        <f t="shared" si="14"/>
        <v>0.68337129840546695</v>
      </c>
      <c r="AH15" s="291">
        <f t="shared" si="14"/>
        <v>144.74474474474474</v>
      </c>
      <c r="AI15" s="304"/>
      <c r="AJ15" s="294" t="s">
        <v>20</v>
      </c>
      <c r="AK15" s="291">
        <f t="shared" ref="AK15:AQ15" si="15">AK14/AK13*100</f>
        <v>0.31746031746031744</v>
      </c>
      <c r="AL15" s="291">
        <f t="shared" si="15"/>
        <v>0.87074829931972786</v>
      </c>
      <c r="AM15" s="291">
        <f t="shared" si="15"/>
        <v>0.96153846153846156</v>
      </c>
      <c r="AN15" s="291">
        <f t="shared" si="15"/>
        <v>1.4044943820224718</v>
      </c>
      <c r="AO15" s="291">
        <f t="shared" si="15"/>
        <v>0.44893378226711567</v>
      </c>
      <c r="AP15" s="291">
        <f t="shared" si="15"/>
        <v>0</v>
      </c>
      <c r="AQ15" s="291">
        <f t="shared" si="15"/>
        <v>1.2714558169103625</v>
      </c>
    </row>
    <row r="16" spans="1:43">
      <c r="A16" s="293" t="s">
        <v>13</v>
      </c>
      <c r="B16" s="293">
        <f t="shared" ref="B16:C18" si="16">K16+S16+AK16</f>
        <v>104</v>
      </c>
      <c r="C16" s="293">
        <f t="shared" si="16"/>
        <v>4476</v>
      </c>
      <c r="D16" s="293">
        <f>E16+F16+G16+H16</f>
        <v>3349</v>
      </c>
      <c r="E16" s="293">
        <f t="shared" ref="E16:H18" si="17">N16+V16+AN16</f>
        <v>1239</v>
      </c>
      <c r="F16" s="293">
        <f t="shared" si="17"/>
        <v>670</v>
      </c>
      <c r="G16" s="293">
        <f t="shared" si="17"/>
        <v>7</v>
      </c>
      <c r="H16" s="293">
        <f t="shared" si="17"/>
        <v>1433</v>
      </c>
      <c r="I16" s="284"/>
      <c r="J16" s="295" t="s">
        <v>13</v>
      </c>
      <c r="K16" s="295">
        <f>76.3+11.9</f>
        <v>88.2</v>
      </c>
      <c r="L16" s="295">
        <f>3417+200</f>
        <v>3617</v>
      </c>
      <c r="M16" s="295">
        <f>2497+180</f>
        <v>2677</v>
      </c>
      <c r="N16" s="295">
        <f>903+55</f>
        <v>958</v>
      </c>
      <c r="O16" s="295">
        <f>478+49</f>
        <v>527</v>
      </c>
      <c r="P16" s="295">
        <f>0+6</f>
        <v>6</v>
      </c>
      <c r="Q16" s="295">
        <f>1116+70</f>
        <v>1186</v>
      </c>
      <c r="R16" s="295" t="s">
        <v>13</v>
      </c>
      <c r="S16" s="295">
        <f>7.8+7.8</f>
        <v>15.6</v>
      </c>
      <c r="T16" s="295">
        <f>433+410</f>
        <v>843</v>
      </c>
      <c r="U16" s="295">
        <f>314+345</f>
        <v>659</v>
      </c>
      <c r="V16" s="295">
        <f>161+117</f>
        <v>278</v>
      </c>
      <c r="W16" s="295">
        <f>50+90</f>
        <v>140</v>
      </c>
      <c r="X16" s="295">
        <f>1+0</f>
        <v>1</v>
      </c>
      <c r="Y16" s="295">
        <f>102+138</f>
        <v>240</v>
      </c>
      <c r="Z16" s="306"/>
      <c r="AA16" s="295" t="s">
        <v>13</v>
      </c>
      <c r="AB16" s="295">
        <f>7.8+7.8</f>
        <v>15.6</v>
      </c>
      <c r="AC16" s="295">
        <f>433+410</f>
        <v>843</v>
      </c>
      <c r="AD16" s="295">
        <f>314+345</f>
        <v>659</v>
      </c>
      <c r="AE16" s="295">
        <f>161+117</f>
        <v>278</v>
      </c>
      <c r="AF16" s="295">
        <f>50+90</f>
        <v>140</v>
      </c>
      <c r="AG16" s="295">
        <f>1+0</f>
        <v>1</v>
      </c>
      <c r="AH16" s="295">
        <f>102+138</f>
        <v>240</v>
      </c>
      <c r="AI16" s="306"/>
      <c r="AJ16" s="295" t="s">
        <v>13</v>
      </c>
      <c r="AK16" s="296">
        <f>0.2</f>
        <v>0.2</v>
      </c>
      <c r="AL16" s="295">
        <f>16</f>
        <v>16</v>
      </c>
      <c r="AM16" s="295">
        <f>13</f>
        <v>13</v>
      </c>
      <c r="AN16" s="295">
        <f>3</f>
        <v>3</v>
      </c>
      <c r="AO16" s="295">
        <f>3</f>
        <v>3</v>
      </c>
      <c r="AP16" s="295">
        <f>0</f>
        <v>0</v>
      </c>
      <c r="AQ16" s="295">
        <f>7</f>
        <v>7</v>
      </c>
    </row>
    <row r="17" spans="1:43">
      <c r="A17" s="293" t="s">
        <v>14</v>
      </c>
      <c r="B17" s="293">
        <f t="shared" si="16"/>
        <v>4.4000000000000004</v>
      </c>
      <c r="C17" s="293">
        <f t="shared" si="16"/>
        <v>445</v>
      </c>
      <c r="D17" s="293">
        <f>E17+F17+G17+H17</f>
        <v>395</v>
      </c>
      <c r="E17" s="293">
        <f t="shared" si="17"/>
        <v>72</v>
      </c>
      <c r="F17" s="293">
        <f t="shared" si="17"/>
        <v>70</v>
      </c>
      <c r="G17" s="293">
        <f t="shared" si="17"/>
        <v>5</v>
      </c>
      <c r="H17" s="293">
        <f t="shared" si="17"/>
        <v>248</v>
      </c>
      <c r="I17" s="284"/>
      <c r="J17" s="295" t="s">
        <v>14</v>
      </c>
      <c r="K17" s="295">
        <f>4.4</f>
        <v>4.4000000000000004</v>
      </c>
      <c r="L17" s="295">
        <f>406</f>
        <v>406</v>
      </c>
      <c r="M17" s="295">
        <f>357</f>
        <v>357</v>
      </c>
      <c r="N17" s="295">
        <f>67</f>
        <v>67</v>
      </c>
      <c r="O17" s="295">
        <f>69</f>
        <v>69</v>
      </c>
      <c r="P17" s="295">
        <f>4</f>
        <v>4</v>
      </c>
      <c r="Q17" s="295">
        <f>217</f>
        <v>217</v>
      </c>
      <c r="R17" s="295" t="s">
        <v>14</v>
      </c>
      <c r="S17" s="295">
        <f>0</f>
        <v>0</v>
      </c>
      <c r="T17" s="295">
        <f>33</f>
        <v>33</v>
      </c>
      <c r="U17" s="295">
        <f>32</f>
        <v>32</v>
      </c>
      <c r="V17" s="295">
        <f>4</f>
        <v>4</v>
      </c>
      <c r="W17" s="295">
        <f>0</f>
        <v>0</v>
      </c>
      <c r="X17" s="295">
        <f>1</f>
        <v>1</v>
      </c>
      <c r="Y17" s="295">
        <f>27</f>
        <v>27</v>
      </c>
      <c r="Z17" s="306"/>
      <c r="AA17" s="295" t="s">
        <v>14</v>
      </c>
      <c r="AB17" s="295">
        <f>0</f>
        <v>0</v>
      </c>
      <c r="AC17" s="295">
        <f>33</f>
        <v>33</v>
      </c>
      <c r="AD17" s="295">
        <f>32</f>
        <v>32</v>
      </c>
      <c r="AE17" s="295">
        <f>4</f>
        <v>4</v>
      </c>
      <c r="AF17" s="295">
        <f>0</f>
        <v>0</v>
      </c>
      <c r="AG17" s="295">
        <f>1</f>
        <v>1</v>
      </c>
      <c r="AH17" s="295">
        <f>27</f>
        <v>27</v>
      </c>
      <c r="AI17" s="306"/>
      <c r="AJ17" s="295" t="s">
        <v>14</v>
      </c>
      <c r="AK17" s="296">
        <f>0</f>
        <v>0</v>
      </c>
      <c r="AL17" s="291">
        <f>6</f>
        <v>6</v>
      </c>
      <c r="AM17" s="291">
        <f>6</f>
        <v>6</v>
      </c>
      <c r="AN17" s="291">
        <f>1</f>
        <v>1</v>
      </c>
      <c r="AO17" s="291">
        <f>1</f>
        <v>1</v>
      </c>
      <c r="AP17" s="291">
        <f>0</f>
        <v>0</v>
      </c>
      <c r="AQ17" s="291">
        <f>4</f>
        <v>4</v>
      </c>
    </row>
    <row r="18" spans="1:43">
      <c r="A18" s="293" t="s">
        <v>15</v>
      </c>
      <c r="B18" s="293">
        <f t="shared" si="16"/>
        <v>0</v>
      </c>
      <c r="C18" s="293">
        <f t="shared" si="16"/>
        <v>0</v>
      </c>
      <c r="D18" s="293">
        <f>E18+F18+G18+H18</f>
        <v>0</v>
      </c>
      <c r="E18" s="293">
        <f t="shared" si="17"/>
        <v>0</v>
      </c>
      <c r="F18" s="293">
        <f t="shared" si="17"/>
        <v>0</v>
      </c>
      <c r="G18" s="293">
        <f t="shared" si="17"/>
        <v>0</v>
      </c>
      <c r="H18" s="293">
        <f t="shared" si="17"/>
        <v>0</v>
      </c>
      <c r="I18" s="284"/>
      <c r="J18" s="295" t="s">
        <v>15</v>
      </c>
      <c r="K18" s="297"/>
      <c r="L18" s="295"/>
      <c r="M18" s="295"/>
      <c r="N18" s="295"/>
      <c r="O18" s="295"/>
      <c r="P18" s="295"/>
      <c r="Q18" s="295"/>
      <c r="R18" s="295" t="s">
        <v>15</v>
      </c>
      <c r="S18" s="295"/>
      <c r="T18" s="295"/>
      <c r="U18" s="295"/>
      <c r="V18" s="295"/>
      <c r="W18" s="295"/>
      <c r="X18" s="295"/>
      <c r="Y18" s="295"/>
      <c r="Z18" s="306"/>
      <c r="AA18" s="295" t="s">
        <v>15</v>
      </c>
      <c r="AB18" s="295"/>
      <c r="AC18" s="295"/>
      <c r="AD18" s="295"/>
      <c r="AE18" s="295"/>
      <c r="AF18" s="295"/>
      <c r="AG18" s="295"/>
      <c r="AH18" s="295"/>
      <c r="AI18" s="306"/>
      <c r="AJ18" s="295" t="s">
        <v>15</v>
      </c>
      <c r="AK18" s="296"/>
      <c r="AL18" s="291"/>
      <c r="AM18" s="291"/>
      <c r="AN18" s="291"/>
      <c r="AO18" s="291"/>
      <c r="AP18" s="291"/>
      <c r="AQ18" s="291"/>
    </row>
    <row r="19" spans="1:43">
      <c r="A19" s="488" t="s">
        <v>16</v>
      </c>
      <c r="B19" s="489"/>
      <c r="C19" s="489"/>
      <c r="D19" s="489"/>
      <c r="E19" s="489"/>
      <c r="F19" s="489"/>
      <c r="G19" s="489"/>
      <c r="H19" s="490"/>
      <c r="I19" s="284"/>
      <c r="J19" s="491" t="s">
        <v>16</v>
      </c>
      <c r="K19" s="492"/>
      <c r="L19" s="492"/>
      <c r="M19" s="492"/>
      <c r="N19" s="492"/>
      <c r="O19" s="492"/>
      <c r="P19" s="492"/>
      <c r="Q19" s="493"/>
      <c r="R19" s="491" t="s">
        <v>16</v>
      </c>
      <c r="S19" s="492"/>
      <c r="T19" s="492"/>
      <c r="U19" s="492"/>
      <c r="V19" s="492"/>
      <c r="W19" s="492"/>
      <c r="X19" s="492"/>
      <c r="Y19" s="493"/>
      <c r="Z19" s="305"/>
      <c r="AA19" s="486" t="s">
        <v>16</v>
      </c>
      <c r="AB19" s="486"/>
      <c r="AC19" s="486"/>
      <c r="AD19" s="486"/>
      <c r="AE19" s="486"/>
      <c r="AF19" s="486"/>
      <c r="AG19" s="486"/>
      <c r="AH19" s="486"/>
      <c r="AI19" s="305"/>
      <c r="AJ19" s="486" t="s">
        <v>16</v>
      </c>
      <c r="AK19" s="486"/>
      <c r="AL19" s="486"/>
      <c r="AM19" s="486"/>
      <c r="AN19" s="486"/>
      <c r="AO19" s="486"/>
      <c r="AP19" s="486"/>
      <c r="AQ19" s="486"/>
    </row>
    <row r="20" spans="1:43">
      <c r="A20" s="292" t="s">
        <v>18</v>
      </c>
      <c r="B20" s="293">
        <f>B23+B26+B29+B32+B35+B38</f>
        <v>531.20000000000005</v>
      </c>
      <c r="C20" s="293">
        <f t="shared" ref="C20:H21" si="18">C23+C26+C29+C32+C35+C38</f>
        <v>30255</v>
      </c>
      <c r="D20" s="293">
        <f t="shared" si="18"/>
        <v>25004</v>
      </c>
      <c r="E20" s="293">
        <f t="shared" si="18"/>
        <v>4959</v>
      </c>
      <c r="F20" s="293">
        <f t="shared" si="18"/>
        <v>2771</v>
      </c>
      <c r="G20" s="293">
        <f t="shared" si="18"/>
        <v>2674</v>
      </c>
      <c r="H20" s="293">
        <f t="shared" si="18"/>
        <v>14600</v>
      </c>
      <c r="I20" s="284"/>
      <c r="J20" s="294" t="s">
        <v>18</v>
      </c>
      <c r="K20" s="295">
        <f t="shared" ref="K20:Q21" si="19">K23+K26+K29+K32+K35+K38</f>
        <v>200</v>
      </c>
      <c r="L20" s="295">
        <f t="shared" si="19"/>
        <v>8225</v>
      </c>
      <c r="M20" s="295">
        <f t="shared" si="19"/>
        <v>6854</v>
      </c>
      <c r="N20" s="295">
        <f t="shared" si="19"/>
        <v>1179</v>
      </c>
      <c r="O20" s="295">
        <f t="shared" si="19"/>
        <v>1381</v>
      </c>
      <c r="P20" s="295">
        <f t="shared" si="19"/>
        <v>773</v>
      </c>
      <c r="Q20" s="295">
        <f t="shared" si="19"/>
        <v>3521</v>
      </c>
      <c r="R20" s="294" t="s">
        <v>18</v>
      </c>
      <c r="S20" s="295">
        <f t="shared" ref="S20:Y21" si="20">S23+S26+S29+S32+S35+S38</f>
        <v>314</v>
      </c>
      <c r="T20" s="295">
        <f t="shared" si="20"/>
        <v>20610</v>
      </c>
      <c r="U20" s="295">
        <f t="shared" si="20"/>
        <v>17088</v>
      </c>
      <c r="V20" s="295">
        <f t="shared" si="20"/>
        <v>3733</v>
      </c>
      <c r="W20" s="295">
        <f t="shared" si="20"/>
        <v>1254</v>
      </c>
      <c r="X20" s="295">
        <f t="shared" si="20"/>
        <v>1659</v>
      </c>
      <c r="Y20" s="295">
        <f t="shared" si="20"/>
        <v>10442</v>
      </c>
      <c r="Z20" s="306"/>
      <c r="AA20" s="294" t="s">
        <v>18</v>
      </c>
      <c r="AB20" s="296">
        <f>AB23+AB26+AB29+AB32+AB35+AB38</f>
        <v>115</v>
      </c>
      <c r="AC20" s="295">
        <f t="shared" ref="AC20:AH21" si="21">AC23+AC26+AC29+AC32+AC35+AC38</f>
        <v>9915</v>
      </c>
      <c r="AD20" s="295">
        <f t="shared" si="21"/>
        <v>8566</v>
      </c>
      <c r="AE20" s="295">
        <f t="shared" si="21"/>
        <v>3260</v>
      </c>
      <c r="AF20" s="295">
        <f t="shared" si="21"/>
        <v>545</v>
      </c>
      <c r="AG20" s="295">
        <f t="shared" si="21"/>
        <v>397</v>
      </c>
      <c r="AH20" s="295">
        <f t="shared" si="21"/>
        <v>4364</v>
      </c>
      <c r="AI20" s="306"/>
      <c r="AJ20" s="294" t="s">
        <v>18</v>
      </c>
      <c r="AK20" s="291">
        <f t="shared" ref="AK20:AQ21" si="22">AK23+AK26+AK29+AK32+AK35+AK38</f>
        <v>17.2</v>
      </c>
      <c r="AL20" s="295">
        <f t="shared" si="22"/>
        <v>1420</v>
      </c>
      <c r="AM20" s="295">
        <f t="shared" si="22"/>
        <v>1062</v>
      </c>
      <c r="AN20" s="295">
        <f t="shared" si="22"/>
        <v>47</v>
      </c>
      <c r="AO20" s="295">
        <f t="shared" si="22"/>
        <v>136</v>
      </c>
      <c r="AP20" s="295">
        <f t="shared" si="22"/>
        <v>242</v>
      </c>
      <c r="AQ20" s="295">
        <f t="shared" si="22"/>
        <v>637</v>
      </c>
    </row>
    <row r="21" spans="1:43">
      <c r="A21" s="298" t="s">
        <v>19</v>
      </c>
      <c r="B21" s="299">
        <f>B24+B27+B30+B33+B36+B39</f>
        <v>296.2</v>
      </c>
      <c r="C21" s="293">
        <f t="shared" si="18"/>
        <v>18059</v>
      </c>
      <c r="D21" s="293">
        <f t="shared" si="18"/>
        <v>16066</v>
      </c>
      <c r="E21" s="293">
        <f t="shared" si="18"/>
        <v>2085</v>
      </c>
      <c r="F21" s="293">
        <f t="shared" si="18"/>
        <v>478</v>
      </c>
      <c r="G21" s="293">
        <f t="shared" si="18"/>
        <v>201</v>
      </c>
      <c r="H21" s="293">
        <f>H24+H27+H30+H33+H36+H39</f>
        <v>13302</v>
      </c>
      <c r="I21" s="284"/>
      <c r="J21" s="294" t="s">
        <v>19</v>
      </c>
      <c r="K21" s="296">
        <f>K24+K27+K30+K33+K36+K39</f>
        <v>113.2</v>
      </c>
      <c r="L21" s="296">
        <f t="shared" si="19"/>
        <v>5090</v>
      </c>
      <c r="M21" s="296">
        <f t="shared" si="19"/>
        <v>4724</v>
      </c>
      <c r="N21" s="296">
        <f t="shared" si="19"/>
        <v>734</v>
      </c>
      <c r="O21" s="296">
        <f t="shared" si="19"/>
        <v>101</v>
      </c>
      <c r="P21" s="296">
        <f t="shared" si="19"/>
        <v>14</v>
      </c>
      <c r="Q21" s="296">
        <f t="shared" si="19"/>
        <v>3875</v>
      </c>
      <c r="R21" s="294" t="s">
        <v>19</v>
      </c>
      <c r="S21" s="296">
        <f>S24+S27+S30+S33+S36+S39</f>
        <v>183</v>
      </c>
      <c r="T21" s="296">
        <f>T24+T27+T30+T33+T36+T39</f>
        <v>12969</v>
      </c>
      <c r="U21" s="296">
        <f t="shared" si="20"/>
        <v>11342</v>
      </c>
      <c r="V21" s="296">
        <f t="shared" si="20"/>
        <v>1351</v>
      </c>
      <c r="W21" s="296">
        <f t="shared" si="20"/>
        <v>377</v>
      </c>
      <c r="X21" s="296">
        <f t="shared" si="20"/>
        <v>187</v>
      </c>
      <c r="Y21" s="296">
        <f t="shared" si="20"/>
        <v>9427</v>
      </c>
      <c r="Z21" s="306"/>
      <c r="AA21" s="294" t="s">
        <v>19</v>
      </c>
      <c r="AB21" s="296">
        <f>AB24+AB27+AB30+AB33+AB36+AB39</f>
        <v>75.800000000000011</v>
      </c>
      <c r="AC21" s="296">
        <f>AC24+AC27+AC30+AC33+AC36+AC39</f>
        <v>6361</v>
      </c>
      <c r="AD21" s="296">
        <f>AD24+AD27+AD30+AD33+AD36+AD39</f>
        <v>4886</v>
      </c>
      <c r="AE21" s="296">
        <f>AE24+AE27+AE30+AE33+AE36+AE39</f>
        <v>1127</v>
      </c>
      <c r="AF21" s="296">
        <f t="shared" si="21"/>
        <v>265</v>
      </c>
      <c r="AG21" s="296">
        <f>AG24+AG27+AG30+AG33+AG36+AG39</f>
        <v>164</v>
      </c>
      <c r="AH21" s="296">
        <f t="shared" si="21"/>
        <v>3330</v>
      </c>
      <c r="AI21" s="306"/>
      <c r="AJ21" s="294" t="s">
        <v>19</v>
      </c>
      <c r="AK21" s="296">
        <f>AK24+AK27+AK30+AK33+AK36+AK39</f>
        <v>0</v>
      </c>
      <c r="AL21" s="296">
        <f t="shared" si="22"/>
        <v>0</v>
      </c>
      <c r="AM21" s="296">
        <f t="shared" si="22"/>
        <v>0</v>
      </c>
      <c r="AN21" s="296">
        <f t="shared" si="22"/>
        <v>0</v>
      </c>
      <c r="AO21" s="296">
        <f t="shared" si="22"/>
        <v>0</v>
      </c>
      <c r="AP21" s="296">
        <f t="shared" si="22"/>
        <v>0</v>
      </c>
      <c r="AQ21" s="296">
        <f t="shared" si="22"/>
        <v>0</v>
      </c>
    </row>
    <row r="22" spans="1:43">
      <c r="A22" s="292" t="s">
        <v>20</v>
      </c>
      <c r="B22" s="290">
        <f t="shared" ref="B22:H22" si="23">B21/B20*100</f>
        <v>55.760542168674689</v>
      </c>
      <c r="C22" s="290">
        <f t="shared" si="23"/>
        <v>59.689307552470659</v>
      </c>
      <c r="D22" s="290">
        <f t="shared" si="23"/>
        <v>64.253719404895222</v>
      </c>
      <c r="E22" s="290">
        <f t="shared" si="23"/>
        <v>42.044767090139139</v>
      </c>
      <c r="F22" s="290">
        <f t="shared" si="23"/>
        <v>17.250090220137135</v>
      </c>
      <c r="G22" s="290">
        <f t="shared" si="23"/>
        <v>7.5168287210172036</v>
      </c>
      <c r="H22" s="290">
        <f t="shared" si="23"/>
        <v>91.109589041095902</v>
      </c>
      <c r="I22" s="284"/>
      <c r="J22" s="294" t="s">
        <v>20</v>
      </c>
      <c r="K22" s="291">
        <f t="shared" ref="K22:Q22" si="24">K21/K20*100</f>
        <v>56.600000000000009</v>
      </c>
      <c r="L22" s="291">
        <f t="shared" si="24"/>
        <v>61.884498480243167</v>
      </c>
      <c r="M22" s="291">
        <f t="shared" si="24"/>
        <v>68.923256492559091</v>
      </c>
      <c r="N22" s="291">
        <f t="shared" si="24"/>
        <v>62.256149279050042</v>
      </c>
      <c r="O22" s="291">
        <f t="shared" si="24"/>
        <v>7.3135409123823312</v>
      </c>
      <c r="P22" s="291">
        <f t="shared" si="24"/>
        <v>1.8111254851228977</v>
      </c>
      <c r="Q22" s="291">
        <f t="shared" si="24"/>
        <v>110.05396194262993</v>
      </c>
      <c r="R22" s="294" t="s">
        <v>20</v>
      </c>
      <c r="S22" s="291">
        <f t="shared" ref="S22:Y22" si="25">S21/S20*100</f>
        <v>58.280254777070063</v>
      </c>
      <c r="T22" s="291">
        <f t="shared" si="25"/>
        <v>62.925764192139731</v>
      </c>
      <c r="U22" s="291">
        <f t="shared" si="25"/>
        <v>66.374063670411985</v>
      </c>
      <c r="V22" s="291">
        <f t="shared" si="25"/>
        <v>36.190731315296013</v>
      </c>
      <c r="W22" s="291">
        <f t="shared" si="25"/>
        <v>30.063795853269536</v>
      </c>
      <c r="X22" s="291">
        <f t="shared" si="25"/>
        <v>11.271850512356842</v>
      </c>
      <c r="Y22" s="291">
        <f t="shared" si="25"/>
        <v>90.279639915724957</v>
      </c>
      <c r="Z22" s="304"/>
      <c r="AA22" s="294" t="s">
        <v>20</v>
      </c>
      <c r="AB22" s="291">
        <f t="shared" ref="AB22:AH22" si="26">AB21/AB20*100</f>
        <v>65.913043478260875</v>
      </c>
      <c r="AC22" s="291">
        <f t="shared" si="26"/>
        <v>64.155320221886029</v>
      </c>
      <c r="AD22" s="291">
        <f t="shared" si="26"/>
        <v>57.039458323604954</v>
      </c>
      <c r="AE22" s="291">
        <f t="shared" si="26"/>
        <v>34.570552147239262</v>
      </c>
      <c r="AF22" s="291">
        <f t="shared" si="26"/>
        <v>48.623853211009177</v>
      </c>
      <c r="AG22" s="291">
        <f t="shared" si="26"/>
        <v>41.309823677581861</v>
      </c>
      <c r="AH22" s="291">
        <f t="shared" si="26"/>
        <v>76.306141154903756</v>
      </c>
      <c r="AI22" s="304"/>
      <c r="AJ22" s="294" t="s">
        <v>20</v>
      </c>
      <c r="AK22" s="291">
        <f t="shared" ref="AK22:AQ22" si="27">AK21/AK20*100</f>
        <v>0</v>
      </c>
      <c r="AL22" s="291">
        <f t="shared" si="27"/>
        <v>0</v>
      </c>
      <c r="AM22" s="291">
        <f t="shared" si="27"/>
        <v>0</v>
      </c>
      <c r="AN22" s="291">
        <f t="shared" si="27"/>
        <v>0</v>
      </c>
      <c r="AO22" s="291">
        <f t="shared" si="27"/>
        <v>0</v>
      </c>
      <c r="AP22" s="291">
        <f t="shared" si="27"/>
        <v>0</v>
      </c>
      <c r="AQ22" s="291">
        <f t="shared" si="27"/>
        <v>0</v>
      </c>
    </row>
    <row r="23" spans="1:43">
      <c r="A23" s="293" t="s">
        <v>21</v>
      </c>
      <c r="B23" s="299">
        <f>K23+S23+AK23</f>
        <v>212</v>
      </c>
      <c r="C23" s="293">
        <f>L23+T23+AL23</f>
        <v>14745</v>
      </c>
      <c r="D23" s="293">
        <f>E23+F23+G23+H23</f>
        <v>12534</v>
      </c>
      <c r="E23" s="293">
        <f t="shared" ref="E23:H24" si="28">N23+V23+AN23</f>
        <v>4114</v>
      </c>
      <c r="F23" s="293">
        <f t="shared" si="28"/>
        <v>1329</v>
      </c>
      <c r="G23" s="293">
        <f t="shared" si="28"/>
        <v>975</v>
      </c>
      <c r="H23" s="293">
        <f t="shared" si="28"/>
        <v>6116</v>
      </c>
      <c r="I23" s="284"/>
      <c r="J23" s="295" t="s">
        <v>21</v>
      </c>
      <c r="K23" s="295">
        <v>107</v>
      </c>
      <c r="L23" s="295">
        <v>5255</v>
      </c>
      <c r="M23" s="295">
        <f>N23+O23+P23+Q23</f>
        <v>4411</v>
      </c>
      <c r="N23" s="295">
        <v>1002</v>
      </c>
      <c r="O23" s="295">
        <v>841</v>
      </c>
      <c r="P23" s="295">
        <v>544</v>
      </c>
      <c r="Q23" s="295">
        <v>2024</v>
      </c>
      <c r="R23" s="295" t="s">
        <v>21</v>
      </c>
      <c r="S23" s="295">
        <f>100</f>
        <v>100</v>
      </c>
      <c r="T23" s="295">
        <f>8850</f>
        <v>8850</v>
      </c>
      <c r="U23" s="295">
        <f>V23+W23+X23+Y23</f>
        <v>7873</v>
      </c>
      <c r="V23" s="295">
        <f>3096</f>
        <v>3096</v>
      </c>
      <c r="W23" s="295">
        <f>442</f>
        <v>442</v>
      </c>
      <c r="X23" s="295">
        <f>354</f>
        <v>354</v>
      </c>
      <c r="Y23" s="295">
        <f>3981</f>
        <v>3981</v>
      </c>
      <c r="Z23" s="306"/>
      <c r="AA23" s="295" t="s">
        <v>21</v>
      </c>
      <c r="AB23" s="295">
        <v>100</v>
      </c>
      <c r="AC23" s="295">
        <v>8995</v>
      </c>
      <c r="AD23" s="295">
        <f>AE23+AF23+AG23+AH23</f>
        <v>7873</v>
      </c>
      <c r="AE23" s="295">
        <v>3096</v>
      </c>
      <c r="AF23" s="295">
        <v>442</v>
      </c>
      <c r="AG23" s="295">
        <v>354</v>
      </c>
      <c r="AH23" s="295">
        <v>3981</v>
      </c>
      <c r="AI23" s="306"/>
      <c r="AJ23" s="295" t="s">
        <v>21</v>
      </c>
      <c r="AK23" s="296">
        <v>5</v>
      </c>
      <c r="AL23" s="295">
        <v>640</v>
      </c>
      <c r="AM23" s="295">
        <f>SUM(AN23:AQ23)</f>
        <v>250</v>
      </c>
      <c r="AN23" s="295">
        <v>16</v>
      </c>
      <c r="AO23" s="295">
        <v>46</v>
      </c>
      <c r="AP23" s="295">
        <v>77</v>
      </c>
      <c r="AQ23" s="295">
        <v>111</v>
      </c>
    </row>
    <row r="24" spans="1:43">
      <c r="A24" s="293" t="s">
        <v>22</v>
      </c>
      <c r="B24" s="299">
        <f>K24+S24+AK24</f>
        <v>210.1</v>
      </c>
      <c r="C24" s="293">
        <f>L24+T24+AL24</f>
        <v>10398</v>
      </c>
      <c r="D24" s="293">
        <f>E24+F24+G24+H24</f>
        <v>8657</v>
      </c>
      <c r="E24" s="293">
        <f t="shared" si="28"/>
        <v>1754</v>
      </c>
      <c r="F24" s="293">
        <f t="shared" si="28"/>
        <v>328</v>
      </c>
      <c r="G24" s="293">
        <f t="shared" si="28"/>
        <v>166</v>
      </c>
      <c r="H24" s="293">
        <f t="shared" si="28"/>
        <v>6409</v>
      </c>
      <c r="I24" s="284"/>
      <c r="J24" s="295" t="s">
        <v>22</v>
      </c>
      <c r="K24" s="295">
        <f>92.5+19.5</f>
        <v>112</v>
      </c>
      <c r="L24" s="295">
        <f>2303+1160</f>
        <v>3463</v>
      </c>
      <c r="M24" s="295">
        <f>2195+1019</f>
        <v>3214</v>
      </c>
      <c r="N24" s="295">
        <f>151+420</f>
        <v>571</v>
      </c>
      <c r="O24" s="295">
        <f>17+40</f>
        <v>57</v>
      </c>
      <c r="P24" s="295">
        <f>2+0</f>
        <v>2</v>
      </c>
      <c r="Q24" s="295">
        <f>2025+559</f>
        <v>2584</v>
      </c>
      <c r="R24" s="295" t="s">
        <v>22</v>
      </c>
      <c r="S24" s="295">
        <f>31.1+67</f>
        <v>98.1</v>
      </c>
      <c r="T24" s="295">
        <f>1355+5580</f>
        <v>6935</v>
      </c>
      <c r="U24" s="295">
        <f>1293+4150</f>
        <v>5443</v>
      </c>
      <c r="V24" s="295">
        <f>352+831</f>
        <v>1183</v>
      </c>
      <c r="W24" s="295">
        <f>7+264</f>
        <v>271</v>
      </c>
      <c r="X24" s="295">
        <f>9+155</f>
        <v>164</v>
      </c>
      <c r="Y24" s="295">
        <f>925+2900</f>
        <v>3825</v>
      </c>
      <c r="Z24" s="306"/>
      <c r="AA24" s="295" t="s">
        <v>22</v>
      </c>
      <c r="AB24" s="295">
        <f>7.9+67</f>
        <v>74.900000000000006</v>
      </c>
      <c r="AC24" s="295">
        <f>734+5580</f>
        <v>6314</v>
      </c>
      <c r="AD24" s="295">
        <f>690+4150</f>
        <v>4840</v>
      </c>
      <c r="AE24" s="295">
        <f>296+831</f>
        <v>1127</v>
      </c>
      <c r="AF24" s="295">
        <f>1+264</f>
        <v>265</v>
      </c>
      <c r="AG24" s="295">
        <f>9+155</f>
        <v>164</v>
      </c>
      <c r="AH24" s="295">
        <f>384+2900</f>
        <v>3284</v>
      </c>
      <c r="AI24" s="306"/>
      <c r="AJ24" s="295" t="s">
        <v>22</v>
      </c>
      <c r="AK24" s="296"/>
      <c r="AL24" s="295"/>
      <c r="AM24" s="295"/>
      <c r="AN24" s="295"/>
      <c r="AO24" s="295"/>
      <c r="AP24" s="295"/>
      <c r="AQ24" s="295"/>
    </row>
    <row r="25" spans="1:43">
      <c r="A25" s="293" t="s">
        <v>12</v>
      </c>
      <c r="B25" s="290">
        <f t="shared" ref="B25:H25" si="29">B24/B23*100</f>
        <v>99.103773584905653</v>
      </c>
      <c r="C25" s="290">
        <f t="shared" si="29"/>
        <v>70.518819938962366</v>
      </c>
      <c r="D25" s="290">
        <f t="shared" si="29"/>
        <v>69.068134673687567</v>
      </c>
      <c r="E25" s="290">
        <f t="shared" si="29"/>
        <v>42.634905201750122</v>
      </c>
      <c r="F25" s="290">
        <f t="shared" si="29"/>
        <v>24.680210684725356</v>
      </c>
      <c r="G25" s="290">
        <f t="shared" si="29"/>
        <v>17.025641025641026</v>
      </c>
      <c r="H25" s="290">
        <f t="shared" si="29"/>
        <v>104.79071288423808</v>
      </c>
      <c r="I25" s="284"/>
      <c r="J25" s="295" t="s">
        <v>12</v>
      </c>
      <c r="K25" s="291">
        <f t="shared" ref="K25:Q25" si="30">K24/K23*100</f>
        <v>104.67289719626167</v>
      </c>
      <c r="L25" s="291">
        <f t="shared" si="30"/>
        <v>65.899143672692674</v>
      </c>
      <c r="M25" s="291">
        <f t="shared" si="30"/>
        <v>72.86329630469281</v>
      </c>
      <c r="N25" s="291">
        <f t="shared" si="30"/>
        <v>56.986027944111775</v>
      </c>
      <c r="O25" s="291">
        <f t="shared" si="30"/>
        <v>6.7776456599286563</v>
      </c>
      <c r="P25" s="291">
        <f t="shared" si="30"/>
        <v>0.36764705882352938</v>
      </c>
      <c r="Q25" s="291">
        <f t="shared" si="30"/>
        <v>127.66798418972331</v>
      </c>
      <c r="R25" s="295" t="s">
        <v>12</v>
      </c>
      <c r="S25" s="291">
        <f t="shared" ref="S25:Y25" si="31">S24/S23*100</f>
        <v>98.1</v>
      </c>
      <c r="T25" s="291">
        <f t="shared" si="31"/>
        <v>78.361581920903959</v>
      </c>
      <c r="U25" s="291">
        <f t="shared" si="31"/>
        <v>69.135018417375832</v>
      </c>
      <c r="V25" s="291">
        <f t="shared" si="31"/>
        <v>38.21059431524548</v>
      </c>
      <c r="W25" s="291">
        <f t="shared" si="31"/>
        <v>61.312217194570138</v>
      </c>
      <c r="X25" s="291">
        <f t="shared" si="31"/>
        <v>46.327683615819211</v>
      </c>
      <c r="Y25" s="291">
        <f t="shared" si="31"/>
        <v>96.08138658628485</v>
      </c>
      <c r="Z25" s="304"/>
      <c r="AA25" s="295" t="s">
        <v>12</v>
      </c>
      <c r="AB25" s="291">
        <f t="shared" ref="AB25:AH25" si="32">AB24/AB23*100</f>
        <v>74.900000000000006</v>
      </c>
      <c r="AC25" s="291">
        <f t="shared" si="32"/>
        <v>70.194552529182872</v>
      </c>
      <c r="AD25" s="291">
        <f>AD24/AD23*100</f>
        <v>61.47593039502096</v>
      </c>
      <c r="AE25" s="291">
        <f t="shared" si="32"/>
        <v>36.401808785529717</v>
      </c>
      <c r="AF25" s="291">
        <f t="shared" si="32"/>
        <v>59.95475113122172</v>
      </c>
      <c r="AG25" s="291">
        <f t="shared" si="32"/>
        <v>46.327683615819211</v>
      </c>
      <c r="AH25" s="291">
        <f t="shared" si="32"/>
        <v>82.491836222054758</v>
      </c>
      <c r="AI25" s="304"/>
      <c r="AJ25" s="295" t="s">
        <v>12</v>
      </c>
      <c r="AK25" s="291">
        <f t="shared" ref="AK25:AQ25" si="33">AK24/AK23*100</f>
        <v>0</v>
      </c>
      <c r="AL25" s="291">
        <f t="shared" si="33"/>
        <v>0</v>
      </c>
      <c r="AM25" s="291">
        <f t="shared" si="33"/>
        <v>0</v>
      </c>
      <c r="AN25" s="291">
        <f t="shared" si="33"/>
        <v>0</v>
      </c>
      <c r="AO25" s="291">
        <f t="shared" si="33"/>
        <v>0</v>
      </c>
      <c r="AP25" s="291">
        <f t="shared" si="33"/>
        <v>0</v>
      </c>
      <c r="AQ25" s="291">
        <f t="shared" si="33"/>
        <v>0</v>
      </c>
    </row>
    <row r="26" spans="1:43">
      <c r="A26" s="293" t="s">
        <v>23</v>
      </c>
      <c r="B26" s="293">
        <f>K26+S26+AK26</f>
        <v>12</v>
      </c>
      <c r="C26" s="293">
        <f>L26+T26+AL26</f>
        <v>445</v>
      </c>
      <c r="D26" s="293">
        <f>E26+F26+G26+H26</f>
        <v>351</v>
      </c>
      <c r="E26" s="293">
        <f t="shared" ref="E26:H27" si="34">N26+V26+AN26</f>
        <v>56</v>
      </c>
      <c r="F26" s="293">
        <f t="shared" si="34"/>
        <v>80</v>
      </c>
      <c r="G26" s="293">
        <f t="shared" si="34"/>
        <v>33</v>
      </c>
      <c r="H26" s="293">
        <f t="shared" si="34"/>
        <v>182</v>
      </c>
      <c r="I26" s="284"/>
      <c r="J26" s="295" t="s">
        <v>23</v>
      </c>
      <c r="K26" s="296">
        <v>7</v>
      </c>
      <c r="L26" s="295">
        <v>240</v>
      </c>
      <c r="M26" s="295">
        <f>N26+O26+P26+Q26</f>
        <v>182</v>
      </c>
      <c r="N26" s="295">
        <v>22</v>
      </c>
      <c r="O26" s="295">
        <v>51</v>
      </c>
      <c r="P26" s="295">
        <v>22</v>
      </c>
      <c r="Q26" s="295">
        <v>87</v>
      </c>
      <c r="R26" s="295" t="s">
        <v>23</v>
      </c>
      <c r="S26" s="295">
        <v>4</v>
      </c>
      <c r="T26" s="295">
        <v>170</v>
      </c>
      <c r="U26" s="295">
        <f>V26+W26+X26+Y26</f>
        <v>139</v>
      </c>
      <c r="V26" s="295">
        <v>32</v>
      </c>
      <c r="W26" s="295">
        <v>24</v>
      </c>
      <c r="X26" s="295">
        <v>2</v>
      </c>
      <c r="Y26" s="295">
        <v>81</v>
      </c>
      <c r="Z26" s="306"/>
      <c r="AA26" s="295" t="s">
        <v>23</v>
      </c>
      <c r="AB26" s="295">
        <v>4</v>
      </c>
      <c r="AC26" s="295">
        <v>170</v>
      </c>
      <c r="AD26" s="295">
        <f>AE26+AF26+AG26+AH26</f>
        <v>139</v>
      </c>
      <c r="AE26" s="295">
        <v>32</v>
      </c>
      <c r="AF26" s="295">
        <v>24</v>
      </c>
      <c r="AG26" s="295">
        <v>2</v>
      </c>
      <c r="AH26" s="295">
        <v>81</v>
      </c>
      <c r="AI26" s="306"/>
      <c r="AJ26" s="295" t="s">
        <v>23</v>
      </c>
      <c r="AK26" s="296">
        <v>1</v>
      </c>
      <c r="AL26" s="295">
        <v>35</v>
      </c>
      <c r="AM26" s="295">
        <f>AN26+AO26+AP26+AQ26</f>
        <v>30</v>
      </c>
      <c r="AN26" s="295">
        <v>2</v>
      </c>
      <c r="AO26" s="295">
        <v>5</v>
      </c>
      <c r="AP26" s="295">
        <v>9</v>
      </c>
      <c r="AQ26" s="295">
        <v>14</v>
      </c>
    </row>
    <row r="27" spans="1:43">
      <c r="A27" s="293" t="s">
        <v>24</v>
      </c>
      <c r="B27" s="293">
        <f>K27+S27+AK27</f>
        <v>6.2</v>
      </c>
      <c r="C27" s="293">
        <f>L27+T27+AL27</f>
        <v>523</v>
      </c>
      <c r="D27" s="293">
        <f>E27+F27+G27+H27</f>
        <v>511</v>
      </c>
      <c r="E27" s="293">
        <f t="shared" si="34"/>
        <v>40</v>
      </c>
      <c r="F27" s="293">
        <f t="shared" si="34"/>
        <v>2</v>
      </c>
      <c r="G27" s="293">
        <f t="shared" si="34"/>
        <v>0</v>
      </c>
      <c r="H27" s="293">
        <f t="shared" si="34"/>
        <v>469</v>
      </c>
      <c r="I27" s="284"/>
      <c r="J27" s="295" t="s">
        <v>24</v>
      </c>
      <c r="K27" s="295">
        <f>1.2</f>
        <v>1.2</v>
      </c>
      <c r="L27" s="295">
        <f>187</f>
        <v>187</v>
      </c>
      <c r="M27" s="295">
        <f>179</f>
        <v>179</v>
      </c>
      <c r="N27" s="295">
        <f>14</f>
        <v>14</v>
      </c>
      <c r="O27" s="295">
        <f>1</f>
        <v>1</v>
      </c>
      <c r="P27" s="295">
        <f>0</f>
        <v>0</v>
      </c>
      <c r="Q27" s="295">
        <f>164</f>
        <v>164</v>
      </c>
      <c r="R27" s="295" t="s">
        <v>24</v>
      </c>
      <c r="S27" s="295">
        <f>5</f>
        <v>5</v>
      </c>
      <c r="T27" s="295">
        <f>336</f>
        <v>336</v>
      </c>
      <c r="U27" s="295">
        <f>332</f>
        <v>332</v>
      </c>
      <c r="V27" s="295">
        <f>26</f>
        <v>26</v>
      </c>
      <c r="W27" s="295">
        <f>1</f>
        <v>1</v>
      </c>
      <c r="X27" s="295">
        <f>0</f>
        <v>0</v>
      </c>
      <c r="Y27" s="295">
        <f>305</f>
        <v>305</v>
      </c>
      <c r="Z27" s="306"/>
      <c r="AA27" s="295" t="s">
        <v>24</v>
      </c>
      <c r="AB27" s="295">
        <f>0</f>
        <v>0</v>
      </c>
      <c r="AC27" s="295">
        <f>4</f>
        <v>4</v>
      </c>
      <c r="AD27" s="295">
        <f>4</f>
        <v>4</v>
      </c>
      <c r="AE27" s="295">
        <f>0</f>
        <v>0</v>
      </c>
      <c r="AF27" s="295">
        <f>0</f>
        <v>0</v>
      </c>
      <c r="AG27" s="295">
        <f>0</f>
        <v>0</v>
      </c>
      <c r="AH27" s="295">
        <f>4</f>
        <v>4</v>
      </c>
      <c r="AI27" s="306"/>
      <c r="AJ27" s="295" t="s">
        <v>24</v>
      </c>
      <c r="AK27" s="296"/>
      <c r="AL27" s="295"/>
      <c r="AM27" s="295"/>
      <c r="AN27" s="295"/>
      <c r="AO27" s="295"/>
      <c r="AP27" s="295"/>
      <c r="AQ27" s="295"/>
    </row>
    <row r="28" spans="1:43">
      <c r="A28" s="293" t="s">
        <v>12</v>
      </c>
      <c r="B28" s="290">
        <f t="shared" ref="B28:H28" si="35">B27/B26*100</f>
        <v>51.666666666666671</v>
      </c>
      <c r="C28" s="290">
        <f t="shared" si="35"/>
        <v>117.52808988764045</v>
      </c>
      <c r="D28" s="290">
        <f t="shared" si="35"/>
        <v>145.58404558404558</v>
      </c>
      <c r="E28" s="290">
        <f t="shared" si="35"/>
        <v>71.428571428571431</v>
      </c>
      <c r="F28" s="290">
        <f t="shared" si="35"/>
        <v>2.5</v>
      </c>
      <c r="G28" s="290">
        <f t="shared" si="35"/>
        <v>0</v>
      </c>
      <c r="H28" s="290">
        <f t="shared" si="35"/>
        <v>257.69230769230774</v>
      </c>
      <c r="I28" s="284"/>
      <c r="J28" s="295" t="s">
        <v>12</v>
      </c>
      <c r="K28" s="291">
        <f t="shared" ref="K28:P28" si="36">K27/K26*100</f>
        <v>17.142857142857142</v>
      </c>
      <c r="L28" s="291">
        <f t="shared" si="36"/>
        <v>77.916666666666671</v>
      </c>
      <c r="M28" s="291">
        <f t="shared" si="36"/>
        <v>98.35164835164835</v>
      </c>
      <c r="N28" s="291">
        <f>N27/N26*100</f>
        <v>63.636363636363633</v>
      </c>
      <c r="O28" s="291">
        <f t="shared" si="36"/>
        <v>1.9607843137254901</v>
      </c>
      <c r="P28" s="291">
        <f t="shared" si="36"/>
        <v>0</v>
      </c>
      <c r="Q28" s="291">
        <f>Q27/Q26*100</f>
        <v>188.50574712643677</v>
      </c>
      <c r="R28" s="295" t="s">
        <v>12</v>
      </c>
      <c r="S28" s="291">
        <f t="shared" ref="S28:Y28" si="37">S27/S26*100</f>
        <v>125</v>
      </c>
      <c r="T28" s="291">
        <f t="shared" si="37"/>
        <v>197.64705882352942</v>
      </c>
      <c r="U28" s="291">
        <f t="shared" si="37"/>
        <v>238.84892086330933</v>
      </c>
      <c r="V28" s="291">
        <f t="shared" si="37"/>
        <v>81.25</v>
      </c>
      <c r="W28" s="291">
        <f t="shared" si="37"/>
        <v>4.1666666666666661</v>
      </c>
      <c r="X28" s="291">
        <f t="shared" si="37"/>
        <v>0</v>
      </c>
      <c r="Y28" s="291">
        <f t="shared" si="37"/>
        <v>376.54320987654319</v>
      </c>
      <c r="Z28" s="304"/>
      <c r="AA28" s="295" t="s">
        <v>12</v>
      </c>
      <c r="AB28" s="291">
        <f t="shared" ref="AB28:AH28" si="38">AB27/AB26*100</f>
        <v>0</v>
      </c>
      <c r="AC28" s="291">
        <f t="shared" si="38"/>
        <v>2.3529411764705883</v>
      </c>
      <c r="AD28" s="291">
        <f t="shared" si="38"/>
        <v>2.877697841726619</v>
      </c>
      <c r="AE28" s="291">
        <f t="shared" si="38"/>
        <v>0</v>
      </c>
      <c r="AF28" s="291">
        <f t="shared" si="38"/>
        <v>0</v>
      </c>
      <c r="AG28" s="291">
        <f t="shared" si="38"/>
        <v>0</v>
      </c>
      <c r="AH28" s="291">
        <f t="shared" si="38"/>
        <v>4.9382716049382713</v>
      </c>
      <c r="AI28" s="304"/>
      <c r="AJ28" s="295" t="s">
        <v>12</v>
      </c>
      <c r="AK28" s="291">
        <f t="shared" ref="AK28:AQ28" si="39">AK27/AK26*100</f>
        <v>0</v>
      </c>
      <c r="AL28" s="291">
        <f t="shared" si="39"/>
        <v>0</v>
      </c>
      <c r="AM28" s="291">
        <f t="shared" si="39"/>
        <v>0</v>
      </c>
      <c r="AN28" s="291">
        <f t="shared" si="39"/>
        <v>0</v>
      </c>
      <c r="AO28" s="291">
        <f t="shared" si="39"/>
        <v>0</v>
      </c>
      <c r="AP28" s="291">
        <f t="shared" si="39"/>
        <v>0</v>
      </c>
      <c r="AQ28" s="291">
        <f t="shared" si="39"/>
        <v>0</v>
      </c>
    </row>
    <row r="29" spans="1:43">
      <c r="A29" s="293" t="s">
        <v>25</v>
      </c>
      <c r="B29" s="293">
        <f>K29+S29+AK29</f>
        <v>52</v>
      </c>
      <c r="C29" s="293">
        <f>L29+T29+AL29</f>
        <v>2960</v>
      </c>
      <c r="D29" s="293">
        <f>E29+F29+G29+H29</f>
        <v>2432</v>
      </c>
      <c r="E29" s="293">
        <f t="shared" ref="E29:H30" si="40">N29+V29+AN29</f>
        <v>196</v>
      </c>
      <c r="F29" s="293">
        <f t="shared" si="40"/>
        <v>306</v>
      </c>
      <c r="G29" s="293">
        <f t="shared" si="40"/>
        <v>241</v>
      </c>
      <c r="H29" s="293">
        <f t="shared" si="40"/>
        <v>1689</v>
      </c>
      <c r="I29" s="284"/>
      <c r="J29" s="295" t="s">
        <v>25</v>
      </c>
      <c r="K29" s="296">
        <v>6</v>
      </c>
      <c r="L29" s="295">
        <v>220</v>
      </c>
      <c r="M29" s="295">
        <f>N29+O29+P29+Q29</f>
        <v>182</v>
      </c>
      <c r="N29" s="295"/>
      <c r="O29" s="295">
        <v>30</v>
      </c>
      <c r="P29" s="295">
        <v>10</v>
      </c>
      <c r="Q29" s="295">
        <f>15+94+33</f>
        <v>142</v>
      </c>
      <c r="R29" s="295" t="s">
        <v>25</v>
      </c>
      <c r="S29" s="295">
        <v>42</v>
      </c>
      <c r="T29" s="295">
        <v>2540</v>
      </c>
      <c r="U29" s="295">
        <f>V29+W29+X29+Y29</f>
        <v>2087</v>
      </c>
      <c r="V29" s="295">
        <f>36+150</f>
        <v>186</v>
      </c>
      <c r="W29" s="295">
        <f>22+224</f>
        <v>246</v>
      </c>
      <c r="X29" s="295">
        <f>3+112+65</f>
        <v>180</v>
      </c>
      <c r="Y29" s="295">
        <f>136+1123+216</f>
        <v>1475</v>
      </c>
      <c r="Z29" s="306"/>
      <c r="AA29" s="295" t="s">
        <v>25</v>
      </c>
      <c r="AB29" s="295">
        <v>4</v>
      </c>
      <c r="AC29" s="295">
        <v>240</v>
      </c>
      <c r="AD29" s="295">
        <f>AE29+AF29+AG29+AH29</f>
        <v>197</v>
      </c>
      <c r="AE29" s="295">
        <v>36</v>
      </c>
      <c r="AF29" s="295">
        <v>22</v>
      </c>
      <c r="AG29" s="295">
        <v>3</v>
      </c>
      <c r="AH29" s="295">
        <v>136</v>
      </c>
      <c r="AI29" s="306"/>
      <c r="AJ29" s="295" t="s">
        <v>25</v>
      </c>
      <c r="AK29" s="291">
        <v>4</v>
      </c>
      <c r="AL29" s="295">
        <v>200</v>
      </c>
      <c r="AM29" s="295">
        <f>AN29+AO29+AP29+AQ29</f>
        <v>163</v>
      </c>
      <c r="AN29" s="295">
        <v>10</v>
      </c>
      <c r="AO29" s="295">
        <v>30</v>
      </c>
      <c r="AP29" s="295">
        <v>51</v>
      </c>
      <c r="AQ29" s="295">
        <v>72</v>
      </c>
    </row>
    <row r="30" spans="1:43">
      <c r="A30" s="293" t="s">
        <v>26</v>
      </c>
      <c r="B30" s="293">
        <f>K30+S30+AK30</f>
        <v>17.399999999999999</v>
      </c>
      <c r="C30" s="293">
        <f>L30+T30+AL30</f>
        <v>571</v>
      </c>
      <c r="D30" s="293">
        <f>E30+F30+G30+H30</f>
        <v>567</v>
      </c>
      <c r="E30" s="293">
        <f t="shared" si="40"/>
        <v>0</v>
      </c>
      <c r="F30" s="293">
        <f t="shared" si="40"/>
        <v>0</v>
      </c>
      <c r="G30" s="293">
        <f t="shared" si="40"/>
        <v>0</v>
      </c>
      <c r="H30" s="293">
        <f t="shared" si="40"/>
        <v>567</v>
      </c>
      <c r="I30" s="284"/>
      <c r="J30" s="295" t="s">
        <v>26</v>
      </c>
      <c r="K30" s="295">
        <f>0</f>
        <v>0</v>
      </c>
      <c r="L30" s="295">
        <f>62</f>
        <v>62</v>
      </c>
      <c r="M30" s="295">
        <f>61</f>
        <v>61</v>
      </c>
      <c r="N30" s="295">
        <f>0</f>
        <v>0</v>
      </c>
      <c r="O30" s="295">
        <f>0</f>
        <v>0</v>
      </c>
      <c r="P30" s="295">
        <f>0</f>
        <v>0</v>
      </c>
      <c r="Q30" s="295">
        <f>61</f>
        <v>61</v>
      </c>
      <c r="R30" s="295" t="s">
        <v>26</v>
      </c>
      <c r="S30" s="296">
        <f>17.4</f>
        <v>17.399999999999999</v>
      </c>
      <c r="T30" s="295">
        <f>509</f>
        <v>509</v>
      </c>
      <c r="U30" s="295">
        <f>506</f>
        <v>506</v>
      </c>
      <c r="V30" s="295">
        <f>0</f>
        <v>0</v>
      </c>
      <c r="W30" s="295">
        <f>0</f>
        <v>0</v>
      </c>
      <c r="X30" s="295">
        <f>0</f>
        <v>0</v>
      </c>
      <c r="Y30" s="295">
        <f>506</f>
        <v>506</v>
      </c>
      <c r="Z30" s="306"/>
      <c r="AA30" s="295" t="s">
        <v>26</v>
      </c>
      <c r="AB30" s="295">
        <f>0.9</f>
        <v>0.9</v>
      </c>
      <c r="AC30" s="295">
        <f>33</f>
        <v>33</v>
      </c>
      <c r="AD30" s="295">
        <f>32</f>
        <v>32</v>
      </c>
      <c r="AE30" s="295">
        <f>0</f>
        <v>0</v>
      </c>
      <c r="AF30" s="295">
        <f>0</f>
        <v>0</v>
      </c>
      <c r="AG30" s="295">
        <f>0</f>
        <v>0</v>
      </c>
      <c r="AH30" s="295">
        <f>32</f>
        <v>32</v>
      </c>
      <c r="AI30" s="306"/>
      <c r="AJ30" s="295" t="s">
        <v>26</v>
      </c>
      <c r="AK30" s="296"/>
      <c r="AL30" s="295"/>
      <c r="AM30" s="295"/>
      <c r="AN30" s="295"/>
      <c r="AO30" s="295"/>
      <c r="AP30" s="295"/>
      <c r="AQ30" s="295"/>
    </row>
    <row r="31" spans="1:43">
      <c r="A31" s="293" t="s">
        <v>12</v>
      </c>
      <c r="B31" s="290">
        <f t="shared" ref="B31:H31" si="41">B30/B29*100</f>
        <v>33.46153846153846</v>
      </c>
      <c r="C31" s="290">
        <f t="shared" si="41"/>
        <v>19.29054054054054</v>
      </c>
      <c r="D31" s="290">
        <f t="shared" si="41"/>
        <v>23.314144736842106</v>
      </c>
      <c r="E31" s="290">
        <f t="shared" si="41"/>
        <v>0</v>
      </c>
      <c r="F31" s="290">
        <f t="shared" si="41"/>
        <v>0</v>
      </c>
      <c r="G31" s="290">
        <f t="shared" si="41"/>
        <v>0</v>
      </c>
      <c r="H31" s="290">
        <f t="shared" si="41"/>
        <v>33.570159857904088</v>
      </c>
      <c r="I31" s="284"/>
      <c r="J31" s="295" t="s">
        <v>12</v>
      </c>
      <c r="K31" s="291">
        <f t="shared" ref="K31:Q31" si="42">K30/K29*100</f>
        <v>0</v>
      </c>
      <c r="L31" s="291">
        <f t="shared" si="42"/>
        <v>28.18181818181818</v>
      </c>
      <c r="M31" s="291">
        <f t="shared" si="42"/>
        <v>33.516483516483511</v>
      </c>
      <c r="N31" s="291" t="e">
        <f>N30/N29*100</f>
        <v>#DIV/0!</v>
      </c>
      <c r="O31" s="291">
        <f t="shared" si="42"/>
        <v>0</v>
      </c>
      <c r="P31" s="291">
        <f t="shared" si="42"/>
        <v>0</v>
      </c>
      <c r="Q31" s="291">
        <f t="shared" si="42"/>
        <v>42.95774647887324</v>
      </c>
      <c r="R31" s="295" t="s">
        <v>12</v>
      </c>
      <c r="S31" s="291">
        <f t="shared" ref="S31:Y31" si="43">S30/S29*100</f>
        <v>41.428571428571423</v>
      </c>
      <c r="T31" s="291">
        <f t="shared" si="43"/>
        <v>20.039370078740156</v>
      </c>
      <c r="U31" s="291">
        <f t="shared" si="43"/>
        <v>24.245328222328702</v>
      </c>
      <c r="V31" s="291">
        <f t="shared" si="43"/>
        <v>0</v>
      </c>
      <c r="W31" s="291">
        <f t="shared" si="43"/>
        <v>0</v>
      </c>
      <c r="X31" s="291">
        <f t="shared" si="43"/>
        <v>0</v>
      </c>
      <c r="Y31" s="291">
        <f t="shared" si="43"/>
        <v>34.305084745762713</v>
      </c>
      <c r="Z31" s="304"/>
      <c r="AA31" s="295" t="s">
        <v>12</v>
      </c>
      <c r="AB31" s="291">
        <f t="shared" ref="AB31:AH31" si="44">AB30/AB29*100</f>
        <v>22.5</v>
      </c>
      <c r="AC31" s="291">
        <f t="shared" si="44"/>
        <v>13.750000000000002</v>
      </c>
      <c r="AD31" s="291">
        <f t="shared" si="44"/>
        <v>16.243654822335024</v>
      </c>
      <c r="AE31" s="291">
        <f t="shared" si="44"/>
        <v>0</v>
      </c>
      <c r="AF31" s="291">
        <f t="shared" si="44"/>
        <v>0</v>
      </c>
      <c r="AG31" s="291">
        <f t="shared" si="44"/>
        <v>0</v>
      </c>
      <c r="AH31" s="291">
        <f t="shared" si="44"/>
        <v>23.52941176470588</v>
      </c>
      <c r="AI31" s="304"/>
      <c r="AJ31" s="295" t="s">
        <v>12</v>
      </c>
      <c r="AK31" s="291">
        <f t="shared" ref="AK31:AQ31" si="45">AK30/AK29*100</f>
        <v>0</v>
      </c>
      <c r="AL31" s="291">
        <f t="shared" si="45"/>
        <v>0</v>
      </c>
      <c r="AM31" s="291">
        <f t="shared" si="45"/>
        <v>0</v>
      </c>
      <c r="AN31" s="291">
        <f t="shared" si="45"/>
        <v>0</v>
      </c>
      <c r="AO31" s="291">
        <f t="shared" si="45"/>
        <v>0</v>
      </c>
      <c r="AP31" s="291">
        <f t="shared" si="45"/>
        <v>0</v>
      </c>
      <c r="AQ31" s="291">
        <f t="shared" si="45"/>
        <v>0</v>
      </c>
    </row>
    <row r="32" spans="1:43">
      <c r="A32" s="293" t="s">
        <v>27</v>
      </c>
      <c r="B32" s="293">
        <f>K32+S32+AK32</f>
        <v>1.2</v>
      </c>
      <c r="C32" s="293">
        <f>L32+T32+AL32</f>
        <v>170</v>
      </c>
      <c r="D32" s="293">
        <f>E32+F32+G32+H32</f>
        <v>127</v>
      </c>
      <c r="E32" s="293">
        <f t="shared" ref="E32:H33" si="46">N32+V32+AN32</f>
        <v>21</v>
      </c>
      <c r="F32" s="293">
        <f t="shared" si="46"/>
        <v>40</v>
      </c>
      <c r="G32" s="293">
        <f t="shared" si="46"/>
        <v>23</v>
      </c>
      <c r="H32" s="293">
        <f t="shared" si="46"/>
        <v>43</v>
      </c>
      <c r="I32" s="284"/>
      <c r="J32" s="295" t="s">
        <v>27</v>
      </c>
      <c r="K32" s="295"/>
      <c r="L32" s="295"/>
      <c r="M32" s="295">
        <v>0</v>
      </c>
      <c r="N32" s="295"/>
      <c r="O32" s="295"/>
      <c r="P32" s="295"/>
      <c r="Q32" s="295"/>
      <c r="R32" s="295" t="s">
        <v>27</v>
      </c>
      <c r="S32" s="295">
        <v>1</v>
      </c>
      <c r="T32" s="295">
        <v>160</v>
      </c>
      <c r="U32" s="295">
        <f>V32+W32+X32+Y32</f>
        <v>120</v>
      </c>
      <c r="V32" s="295">
        <v>20</v>
      </c>
      <c r="W32" s="295">
        <v>39</v>
      </c>
      <c r="X32" s="295">
        <v>21</v>
      </c>
      <c r="Y32" s="295">
        <v>40</v>
      </c>
      <c r="Z32" s="306"/>
      <c r="AA32" s="295" t="s">
        <v>27</v>
      </c>
      <c r="AB32" s="295">
        <v>1</v>
      </c>
      <c r="AC32" s="295">
        <v>160</v>
      </c>
      <c r="AD32" s="295">
        <f>AE32+AF32+AG32+AH32</f>
        <v>120</v>
      </c>
      <c r="AE32" s="295">
        <v>20</v>
      </c>
      <c r="AF32" s="295">
        <v>39</v>
      </c>
      <c r="AG32" s="295">
        <v>21</v>
      </c>
      <c r="AH32" s="295">
        <v>40</v>
      </c>
      <c r="AI32" s="306"/>
      <c r="AJ32" s="295" t="s">
        <v>27</v>
      </c>
      <c r="AK32" s="291">
        <v>0.2</v>
      </c>
      <c r="AL32" s="295">
        <v>10</v>
      </c>
      <c r="AM32" s="295">
        <f>AN32+AO32+AP32+AQ32</f>
        <v>7</v>
      </c>
      <c r="AN32" s="295">
        <v>1</v>
      </c>
      <c r="AO32" s="295">
        <v>1</v>
      </c>
      <c r="AP32" s="295">
        <v>2</v>
      </c>
      <c r="AQ32" s="295">
        <v>3</v>
      </c>
    </row>
    <row r="33" spans="1:43">
      <c r="A33" s="293" t="s">
        <v>28</v>
      </c>
      <c r="B33" s="293">
        <f>K33+S33+AK33</f>
        <v>0</v>
      </c>
      <c r="C33" s="293">
        <f>L33+T33+AL33</f>
        <v>7</v>
      </c>
      <c r="D33" s="293">
        <f>E33+F33+G33+H33</f>
        <v>7</v>
      </c>
      <c r="E33" s="293">
        <f t="shared" si="46"/>
        <v>5</v>
      </c>
      <c r="F33" s="293">
        <f t="shared" si="46"/>
        <v>0</v>
      </c>
      <c r="G33" s="293">
        <f t="shared" si="46"/>
        <v>1</v>
      </c>
      <c r="H33" s="293">
        <f t="shared" si="46"/>
        <v>1</v>
      </c>
      <c r="I33" s="284"/>
      <c r="J33" s="295" t="s">
        <v>28</v>
      </c>
      <c r="K33" s="295">
        <f>0</f>
        <v>0</v>
      </c>
      <c r="L33" s="295">
        <f>3</f>
        <v>3</v>
      </c>
      <c r="M33" s="295">
        <f>3</f>
        <v>3</v>
      </c>
      <c r="N33" s="295">
        <f>2</f>
        <v>2</v>
      </c>
      <c r="O33" s="295">
        <f>0</f>
        <v>0</v>
      </c>
      <c r="P33" s="295">
        <f>0</f>
        <v>0</v>
      </c>
      <c r="Q33" s="295">
        <f>1</f>
        <v>1</v>
      </c>
      <c r="R33" s="295" t="s">
        <v>28</v>
      </c>
      <c r="S33" s="295">
        <f>0</f>
        <v>0</v>
      </c>
      <c r="T33" s="295">
        <f>4</f>
        <v>4</v>
      </c>
      <c r="U33" s="295">
        <f>4</f>
        <v>4</v>
      </c>
      <c r="V33" s="295">
        <f>3</f>
        <v>3</v>
      </c>
      <c r="W33" s="295">
        <f>0</f>
        <v>0</v>
      </c>
      <c r="X33" s="295">
        <f>1</f>
        <v>1</v>
      </c>
      <c r="Y33" s="295">
        <f>0</f>
        <v>0</v>
      </c>
      <c r="Z33" s="306"/>
      <c r="AA33" s="295" t="s">
        <v>28</v>
      </c>
      <c r="AB33" s="295">
        <v>0</v>
      </c>
      <c r="AC33" s="295">
        <v>0</v>
      </c>
      <c r="AD33" s="295">
        <v>0</v>
      </c>
      <c r="AE33" s="295">
        <v>0</v>
      </c>
      <c r="AF33" s="295">
        <v>0</v>
      </c>
      <c r="AG33" s="295">
        <v>0</v>
      </c>
      <c r="AH33" s="295">
        <v>0</v>
      </c>
      <c r="AI33" s="306"/>
      <c r="AJ33" s="295" t="s">
        <v>28</v>
      </c>
      <c r="AK33" s="291"/>
      <c r="AL33" s="295"/>
      <c r="AM33" s="295"/>
      <c r="AN33" s="295"/>
      <c r="AO33" s="295"/>
      <c r="AP33" s="295"/>
      <c r="AQ33" s="295"/>
    </row>
    <row r="34" spans="1:43">
      <c r="A34" s="293" t="s">
        <v>12</v>
      </c>
      <c r="B34" s="290">
        <f t="shared" ref="B34:H34" si="47">B33/B32*100</f>
        <v>0</v>
      </c>
      <c r="C34" s="290">
        <f t="shared" si="47"/>
        <v>4.117647058823529</v>
      </c>
      <c r="D34" s="290">
        <f t="shared" si="47"/>
        <v>5.5118110236220472</v>
      </c>
      <c r="E34" s="290">
        <f t="shared" si="47"/>
        <v>23.809523809523807</v>
      </c>
      <c r="F34" s="290">
        <f t="shared" si="47"/>
        <v>0</v>
      </c>
      <c r="G34" s="290">
        <f t="shared" si="47"/>
        <v>4.3478260869565215</v>
      </c>
      <c r="H34" s="290">
        <f t="shared" si="47"/>
        <v>2.3255813953488373</v>
      </c>
      <c r="I34" s="284"/>
      <c r="J34" s="295" t="s">
        <v>12</v>
      </c>
      <c r="K34" s="291" t="e">
        <f t="shared" ref="K34:Q34" si="48">K33/K32*100</f>
        <v>#DIV/0!</v>
      </c>
      <c r="L34" s="291" t="e">
        <f t="shared" si="48"/>
        <v>#DIV/0!</v>
      </c>
      <c r="M34" s="291" t="e">
        <f t="shared" si="48"/>
        <v>#DIV/0!</v>
      </c>
      <c r="N34" s="291" t="e">
        <f t="shared" si="48"/>
        <v>#DIV/0!</v>
      </c>
      <c r="O34" s="291" t="e">
        <f t="shared" si="48"/>
        <v>#DIV/0!</v>
      </c>
      <c r="P34" s="291" t="e">
        <f t="shared" si="48"/>
        <v>#DIV/0!</v>
      </c>
      <c r="Q34" s="291" t="e">
        <f t="shared" si="48"/>
        <v>#DIV/0!</v>
      </c>
      <c r="R34" s="295" t="s">
        <v>12</v>
      </c>
      <c r="S34" s="291">
        <f t="shared" ref="S34:Y34" si="49">S33/S32*100</f>
        <v>0</v>
      </c>
      <c r="T34" s="291">
        <f t="shared" si="49"/>
        <v>2.5</v>
      </c>
      <c r="U34" s="291">
        <f t="shared" si="49"/>
        <v>3.3333333333333335</v>
      </c>
      <c r="V34" s="291">
        <f t="shared" si="49"/>
        <v>15</v>
      </c>
      <c r="W34" s="291">
        <f t="shared" si="49"/>
        <v>0</v>
      </c>
      <c r="X34" s="291">
        <f t="shared" si="49"/>
        <v>4.7619047619047619</v>
      </c>
      <c r="Y34" s="291">
        <f t="shared" si="49"/>
        <v>0</v>
      </c>
      <c r="Z34" s="304"/>
      <c r="AA34" s="295" t="s">
        <v>12</v>
      </c>
      <c r="AB34" s="291">
        <f t="shared" ref="AB34:AH34" si="50">AB33/AB32*100</f>
        <v>0</v>
      </c>
      <c r="AC34" s="291">
        <f t="shared" si="50"/>
        <v>0</v>
      </c>
      <c r="AD34" s="291">
        <f t="shared" si="50"/>
        <v>0</v>
      </c>
      <c r="AE34" s="291">
        <f t="shared" si="50"/>
        <v>0</v>
      </c>
      <c r="AF34" s="291">
        <f t="shared" si="50"/>
        <v>0</v>
      </c>
      <c r="AG34" s="291">
        <f t="shared" si="50"/>
        <v>0</v>
      </c>
      <c r="AH34" s="291">
        <f t="shared" si="50"/>
        <v>0</v>
      </c>
      <c r="AI34" s="304"/>
      <c r="AJ34" s="295" t="s">
        <v>12</v>
      </c>
      <c r="AK34" s="291">
        <f t="shared" ref="AK34:AQ34" si="51">AK33/AK32*100</f>
        <v>0</v>
      </c>
      <c r="AL34" s="291">
        <f t="shared" si="51"/>
        <v>0</v>
      </c>
      <c r="AM34" s="291">
        <f t="shared" si="51"/>
        <v>0</v>
      </c>
      <c r="AN34" s="291">
        <f t="shared" si="51"/>
        <v>0</v>
      </c>
      <c r="AO34" s="291">
        <f t="shared" si="51"/>
        <v>0</v>
      </c>
      <c r="AP34" s="291">
        <f t="shared" si="51"/>
        <v>0</v>
      </c>
      <c r="AQ34" s="291">
        <f t="shared" si="51"/>
        <v>0</v>
      </c>
    </row>
    <row r="35" spans="1:43">
      <c r="A35" s="293" t="s">
        <v>29</v>
      </c>
      <c r="B35" s="293">
        <f>K35+S35+AK35</f>
        <v>64</v>
      </c>
      <c r="C35" s="293">
        <f>L35+T35+AL35</f>
        <v>4365</v>
      </c>
      <c r="D35" s="293">
        <f>E35+F35+G35+H35</f>
        <v>3551</v>
      </c>
      <c r="E35" s="293">
        <f t="shared" ref="E35:H36" si="52">N35+V35+AN35</f>
        <v>0</v>
      </c>
      <c r="F35" s="293">
        <f t="shared" si="52"/>
        <v>70</v>
      </c>
      <c r="G35" s="293">
        <f t="shared" si="52"/>
        <v>945</v>
      </c>
      <c r="H35" s="293">
        <f t="shared" si="52"/>
        <v>2536</v>
      </c>
      <c r="I35" s="284"/>
      <c r="J35" s="295" t="s">
        <v>29</v>
      </c>
      <c r="K35" s="295">
        <v>2</v>
      </c>
      <c r="L35" s="295">
        <v>60</v>
      </c>
      <c r="M35" s="295">
        <f>N35+O35+P35+Q35</f>
        <v>51</v>
      </c>
      <c r="N35" s="295"/>
      <c r="O35" s="295"/>
      <c r="P35" s="295">
        <v>15</v>
      </c>
      <c r="Q35" s="295">
        <v>36</v>
      </c>
      <c r="R35" s="295" t="s">
        <v>29</v>
      </c>
      <c r="S35" s="295">
        <v>61</v>
      </c>
      <c r="T35" s="295">
        <v>4250</v>
      </c>
      <c r="U35" s="295">
        <f>V35+W35+X35+Y35</f>
        <v>3453</v>
      </c>
      <c r="V35" s="295"/>
      <c r="W35" s="295">
        <v>69</v>
      </c>
      <c r="X35" s="295">
        <v>917</v>
      </c>
      <c r="Y35" s="295">
        <v>2467</v>
      </c>
      <c r="Z35" s="306"/>
      <c r="AA35" s="295" t="s">
        <v>29</v>
      </c>
      <c r="AB35" s="295"/>
      <c r="AC35" s="295"/>
      <c r="AD35" s="295">
        <f>AE35+AF35+AG35+AH35</f>
        <v>0</v>
      </c>
      <c r="AE35" s="295"/>
      <c r="AF35" s="295"/>
      <c r="AG35" s="295"/>
      <c r="AH35" s="295"/>
      <c r="AI35" s="306"/>
      <c r="AJ35" s="295" t="s">
        <v>29</v>
      </c>
      <c r="AK35" s="291">
        <v>1</v>
      </c>
      <c r="AL35" s="295">
        <v>55</v>
      </c>
      <c r="AM35" s="295">
        <f>AN35+AO35+AP35+AQ35</f>
        <v>47</v>
      </c>
      <c r="AN35" s="295"/>
      <c r="AO35" s="295">
        <v>1</v>
      </c>
      <c r="AP35" s="295">
        <v>13</v>
      </c>
      <c r="AQ35" s="295">
        <v>33</v>
      </c>
    </row>
    <row r="36" spans="1:43">
      <c r="A36" s="293" t="s">
        <v>30</v>
      </c>
      <c r="B36" s="293">
        <f>K36+S36+AK36</f>
        <v>62.5</v>
      </c>
      <c r="C36" s="293">
        <f>L36+T36+AL36</f>
        <v>4681</v>
      </c>
      <c r="D36" s="293">
        <f>E36+F36+G36+H36</f>
        <v>4575</v>
      </c>
      <c r="E36" s="293">
        <f t="shared" si="52"/>
        <v>90</v>
      </c>
      <c r="F36" s="293">
        <f t="shared" si="52"/>
        <v>103</v>
      </c>
      <c r="G36" s="293">
        <f t="shared" si="52"/>
        <v>16</v>
      </c>
      <c r="H36" s="293">
        <f t="shared" si="52"/>
        <v>4366</v>
      </c>
      <c r="I36" s="284"/>
      <c r="J36" s="295" t="s">
        <v>30</v>
      </c>
      <c r="K36" s="295">
        <f>0</f>
        <v>0</v>
      </c>
      <c r="L36" s="295">
        <f>41</f>
        <v>41</v>
      </c>
      <c r="M36" s="295">
        <f>38</f>
        <v>38</v>
      </c>
      <c r="N36" s="295">
        <f>2</f>
        <v>2</v>
      </c>
      <c r="O36" s="295">
        <f>0</f>
        <v>0</v>
      </c>
      <c r="P36" s="295">
        <f>0</f>
        <v>0</v>
      </c>
      <c r="Q36" s="295">
        <f>36</f>
        <v>36</v>
      </c>
      <c r="R36" s="295" t="s">
        <v>30</v>
      </c>
      <c r="S36" s="295">
        <f>28.4+34.1</f>
        <v>62.5</v>
      </c>
      <c r="T36" s="295">
        <f>2320+2320</f>
        <v>4640</v>
      </c>
      <c r="U36" s="295">
        <f>2217+2320</f>
        <v>4537</v>
      </c>
      <c r="V36" s="295">
        <f>23+65</f>
        <v>88</v>
      </c>
      <c r="W36" s="295">
        <f>23+80</f>
        <v>103</v>
      </c>
      <c r="X36" s="295">
        <f>1+15</f>
        <v>16</v>
      </c>
      <c r="Y36" s="295">
        <f>2170+2160</f>
        <v>4330</v>
      </c>
      <c r="Z36" s="306"/>
      <c r="AA36" s="295" t="s">
        <v>30</v>
      </c>
      <c r="AB36" s="295"/>
      <c r="AC36" s="295"/>
      <c r="AD36" s="295"/>
      <c r="AE36" s="295"/>
      <c r="AF36" s="295"/>
      <c r="AG36" s="295"/>
      <c r="AH36" s="295"/>
      <c r="AI36" s="306"/>
      <c r="AJ36" s="295" t="s">
        <v>30</v>
      </c>
      <c r="AK36" s="296"/>
      <c r="AL36" s="295"/>
      <c r="AM36" s="295"/>
      <c r="AN36" s="295"/>
      <c r="AO36" s="295"/>
      <c r="AP36" s="295"/>
      <c r="AQ36" s="295"/>
    </row>
    <row r="37" spans="1:43">
      <c r="A37" s="293" t="s">
        <v>12</v>
      </c>
      <c r="B37" s="290">
        <f t="shared" ref="B37:H37" si="53">B36/B35*100</f>
        <v>97.65625</v>
      </c>
      <c r="C37" s="290">
        <f t="shared" si="53"/>
        <v>107.23940435280642</v>
      </c>
      <c r="D37" s="290">
        <f t="shared" si="53"/>
        <v>128.8369473387778</v>
      </c>
      <c r="E37" s="290" t="e">
        <f>E36/E35*100</f>
        <v>#DIV/0!</v>
      </c>
      <c r="F37" s="290">
        <f t="shared" si="53"/>
        <v>147.14285714285717</v>
      </c>
      <c r="G37" s="290">
        <f t="shared" si="53"/>
        <v>1.6931216931216932</v>
      </c>
      <c r="H37" s="290">
        <f t="shared" si="53"/>
        <v>172.1608832807571</v>
      </c>
      <c r="I37" s="284"/>
      <c r="J37" s="295" t="s">
        <v>12</v>
      </c>
      <c r="K37" s="291">
        <f t="shared" ref="K37:Q37" si="54">K36/K35*100</f>
        <v>0</v>
      </c>
      <c r="L37" s="291">
        <f t="shared" si="54"/>
        <v>68.333333333333329</v>
      </c>
      <c r="M37" s="291">
        <f t="shared" si="54"/>
        <v>74.509803921568633</v>
      </c>
      <c r="N37" s="291" t="e">
        <f t="shared" si="54"/>
        <v>#DIV/0!</v>
      </c>
      <c r="O37" s="291" t="e">
        <f t="shared" si="54"/>
        <v>#DIV/0!</v>
      </c>
      <c r="P37" s="291">
        <f t="shared" si="54"/>
        <v>0</v>
      </c>
      <c r="Q37" s="291">
        <f t="shared" si="54"/>
        <v>100</v>
      </c>
      <c r="R37" s="295" t="s">
        <v>12</v>
      </c>
      <c r="S37" s="291">
        <f t="shared" ref="S37:Y37" si="55">S36/S35*100</f>
        <v>102.45901639344261</v>
      </c>
      <c r="T37" s="291">
        <f t="shared" si="55"/>
        <v>109.1764705882353</v>
      </c>
      <c r="U37" s="291">
        <f t="shared" si="55"/>
        <v>131.39299160150591</v>
      </c>
      <c r="V37" s="291" t="e">
        <f t="shared" si="55"/>
        <v>#DIV/0!</v>
      </c>
      <c r="W37" s="291">
        <f>W36/W35*100</f>
        <v>149.27536231884056</v>
      </c>
      <c r="X37" s="291">
        <f t="shared" si="55"/>
        <v>1.7448200654307526</v>
      </c>
      <c r="Y37" s="291">
        <f t="shared" si="55"/>
        <v>175.51682205107417</v>
      </c>
      <c r="Z37" s="304"/>
      <c r="AA37" s="295" t="s">
        <v>12</v>
      </c>
      <c r="AB37" s="291" t="e">
        <f t="shared" ref="AB37:AH37" si="56">AB36/AB35*100</f>
        <v>#DIV/0!</v>
      </c>
      <c r="AC37" s="291" t="e">
        <f t="shared" si="56"/>
        <v>#DIV/0!</v>
      </c>
      <c r="AD37" s="291" t="e">
        <f t="shared" si="56"/>
        <v>#DIV/0!</v>
      </c>
      <c r="AE37" s="291" t="e">
        <f t="shared" si="56"/>
        <v>#DIV/0!</v>
      </c>
      <c r="AF37" s="291" t="e">
        <f t="shared" si="56"/>
        <v>#DIV/0!</v>
      </c>
      <c r="AG37" s="291" t="e">
        <f t="shared" si="56"/>
        <v>#DIV/0!</v>
      </c>
      <c r="AH37" s="291" t="e">
        <f t="shared" si="56"/>
        <v>#DIV/0!</v>
      </c>
      <c r="AI37" s="304"/>
      <c r="AJ37" s="295" t="s">
        <v>12</v>
      </c>
      <c r="AK37" s="291">
        <f t="shared" ref="AK37:AQ37" si="57">AK36/AK35*100</f>
        <v>0</v>
      </c>
      <c r="AL37" s="291">
        <f t="shared" si="57"/>
        <v>0</v>
      </c>
      <c r="AM37" s="291">
        <f t="shared" si="57"/>
        <v>0</v>
      </c>
      <c r="AN37" s="291" t="e">
        <f t="shared" si="57"/>
        <v>#DIV/0!</v>
      </c>
      <c r="AO37" s="291">
        <f t="shared" si="57"/>
        <v>0</v>
      </c>
      <c r="AP37" s="291">
        <f t="shared" si="57"/>
        <v>0</v>
      </c>
      <c r="AQ37" s="291">
        <f t="shared" si="57"/>
        <v>0</v>
      </c>
    </row>
    <row r="38" spans="1:43">
      <c r="A38" s="293" t="s">
        <v>31</v>
      </c>
      <c r="B38" s="293">
        <f>K38+S38+AK38</f>
        <v>190</v>
      </c>
      <c r="C38" s="293">
        <f>L38+T38+AL38</f>
        <v>7570</v>
      </c>
      <c r="D38" s="293">
        <f>E38+F38+G38+H38</f>
        <v>6009</v>
      </c>
      <c r="E38" s="293">
        <f>N38+V38+AN38</f>
        <v>572</v>
      </c>
      <c r="F38" s="293">
        <f t="shared" ref="F38:H39" si="58">O38+W38+AO38</f>
        <v>946</v>
      </c>
      <c r="G38" s="293">
        <f t="shared" si="58"/>
        <v>457</v>
      </c>
      <c r="H38" s="293">
        <f t="shared" si="58"/>
        <v>4034</v>
      </c>
      <c r="I38" s="284"/>
      <c r="J38" s="295" t="s">
        <v>31</v>
      </c>
      <c r="K38" s="295">
        <v>78</v>
      </c>
      <c r="L38" s="295">
        <v>2450</v>
      </c>
      <c r="M38" s="295">
        <f>N38+O38+P38+Q38</f>
        <v>2028</v>
      </c>
      <c r="N38" s="295">
        <v>155</v>
      </c>
      <c r="O38" s="295">
        <v>459</v>
      </c>
      <c r="P38" s="295">
        <v>182</v>
      </c>
      <c r="Q38" s="295">
        <v>1232</v>
      </c>
      <c r="R38" s="295" t="s">
        <v>31</v>
      </c>
      <c r="S38" s="295">
        <v>106</v>
      </c>
      <c r="T38" s="295">
        <v>4640</v>
      </c>
      <c r="U38" s="295">
        <f>V38+W38+X38+Y38</f>
        <v>3416</v>
      </c>
      <c r="V38" s="295">
        <v>399</v>
      </c>
      <c r="W38" s="295">
        <v>434</v>
      </c>
      <c r="X38" s="295">
        <v>185</v>
      </c>
      <c r="Y38" s="295">
        <v>2398</v>
      </c>
      <c r="Z38" s="306"/>
      <c r="AA38" s="295" t="s">
        <v>31</v>
      </c>
      <c r="AB38" s="295">
        <v>6</v>
      </c>
      <c r="AC38" s="295">
        <v>350</v>
      </c>
      <c r="AD38" s="295">
        <f>AE38+AF38+AG38+AH38</f>
        <v>237</v>
      </c>
      <c r="AE38" s="295">
        <v>76</v>
      </c>
      <c r="AF38" s="295">
        <f>40-AF29</f>
        <v>18</v>
      </c>
      <c r="AG38" s="295">
        <v>17</v>
      </c>
      <c r="AH38" s="295">
        <v>126</v>
      </c>
      <c r="AI38" s="306"/>
      <c r="AJ38" s="295" t="s">
        <v>31</v>
      </c>
      <c r="AK38" s="291">
        <v>6</v>
      </c>
      <c r="AL38" s="295">
        <v>480</v>
      </c>
      <c r="AM38" s="295">
        <f>AN38+AO38+AP38+AQ38</f>
        <v>565</v>
      </c>
      <c r="AN38" s="295">
        <v>18</v>
      </c>
      <c r="AO38" s="295">
        <v>53</v>
      </c>
      <c r="AP38" s="295">
        <v>90</v>
      </c>
      <c r="AQ38" s="295">
        <v>404</v>
      </c>
    </row>
    <row r="39" spans="1:43">
      <c r="A39" s="293" t="s">
        <v>32</v>
      </c>
      <c r="B39" s="299">
        <f>K39+S39+AK39</f>
        <v>0</v>
      </c>
      <c r="C39" s="293">
        <f>L39+T39+AL39</f>
        <v>1879</v>
      </c>
      <c r="D39" s="293">
        <f>E39+F39+G39+H39</f>
        <v>1749</v>
      </c>
      <c r="E39" s="293">
        <f>N39+V39+AN39</f>
        <v>196</v>
      </c>
      <c r="F39" s="293">
        <f>O39+W39+AO39</f>
        <v>45</v>
      </c>
      <c r="G39" s="293">
        <f t="shared" si="58"/>
        <v>18</v>
      </c>
      <c r="H39" s="293">
        <f t="shared" si="58"/>
        <v>1490</v>
      </c>
      <c r="I39" s="284"/>
      <c r="J39" s="295" t="s">
        <v>32</v>
      </c>
      <c r="K39" s="296">
        <f>0</f>
        <v>0</v>
      </c>
      <c r="L39" s="295">
        <f>1334</f>
        <v>1334</v>
      </c>
      <c r="M39" s="295">
        <f>1229</f>
        <v>1229</v>
      </c>
      <c r="N39" s="295">
        <f>145</f>
        <v>145</v>
      </c>
      <c r="O39" s="295">
        <f>43</f>
        <v>43</v>
      </c>
      <c r="P39" s="295">
        <f>12</f>
        <v>12</v>
      </c>
      <c r="Q39" s="295">
        <f>1029</f>
        <v>1029</v>
      </c>
      <c r="R39" s="295" t="s">
        <v>32</v>
      </c>
      <c r="S39" s="296">
        <f>0</f>
        <v>0</v>
      </c>
      <c r="T39" s="295">
        <f>545</f>
        <v>545</v>
      </c>
      <c r="U39" s="295">
        <f>520</f>
        <v>520</v>
      </c>
      <c r="V39" s="295">
        <f>51</f>
        <v>51</v>
      </c>
      <c r="W39" s="295">
        <f>2</f>
        <v>2</v>
      </c>
      <c r="X39" s="295">
        <f>6</f>
        <v>6</v>
      </c>
      <c r="Y39" s="300">
        <f>461</f>
        <v>461</v>
      </c>
      <c r="Z39" s="306"/>
      <c r="AA39" s="295" t="s">
        <v>32</v>
      </c>
      <c r="AB39" s="295">
        <f>0</f>
        <v>0</v>
      </c>
      <c r="AC39" s="295">
        <f>10</f>
        <v>10</v>
      </c>
      <c r="AD39" s="295">
        <f>10</f>
        <v>10</v>
      </c>
      <c r="AE39" s="295">
        <f>0</f>
        <v>0</v>
      </c>
      <c r="AF39" s="295">
        <f>0</f>
        <v>0</v>
      </c>
      <c r="AG39" s="295">
        <f>0</f>
        <v>0</v>
      </c>
      <c r="AH39" s="295">
        <f>10</f>
        <v>10</v>
      </c>
      <c r="AI39" s="306"/>
      <c r="AJ39" s="295" t="s">
        <v>32</v>
      </c>
      <c r="AK39" s="296"/>
      <c r="AL39" s="295"/>
      <c r="AM39" s="295"/>
      <c r="AN39" s="295"/>
      <c r="AO39" s="295"/>
      <c r="AP39" s="295"/>
      <c r="AQ39" s="295"/>
    </row>
    <row r="40" spans="1:43">
      <c r="A40" s="293" t="s">
        <v>12</v>
      </c>
      <c r="B40" s="290">
        <f t="shared" ref="B40:H40" si="59">B39/B38*100</f>
        <v>0</v>
      </c>
      <c r="C40" s="290">
        <f t="shared" si="59"/>
        <v>24.821664464993397</v>
      </c>
      <c r="D40" s="290">
        <f t="shared" si="59"/>
        <v>29.106340489266103</v>
      </c>
      <c r="E40" s="290">
        <f t="shared" si="59"/>
        <v>34.265734265734267</v>
      </c>
      <c r="F40" s="290">
        <f t="shared" si="59"/>
        <v>4.7568710359408035</v>
      </c>
      <c r="G40" s="290">
        <f t="shared" si="59"/>
        <v>3.9387308533916849</v>
      </c>
      <c r="H40" s="290">
        <f t="shared" si="59"/>
        <v>36.936043629152202</v>
      </c>
      <c r="I40" s="284"/>
      <c r="J40" s="295" t="s">
        <v>12</v>
      </c>
      <c r="K40" s="291">
        <f t="shared" ref="K40:Q40" si="60">K39/K38*100</f>
        <v>0</v>
      </c>
      <c r="L40" s="291">
        <f>L39/L38*100</f>
        <v>54.448979591836732</v>
      </c>
      <c r="M40" s="291">
        <f t="shared" si="60"/>
        <v>60.601577909270219</v>
      </c>
      <c r="N40" s="291">
        <f t="shared" si="60"/>
        <v>93.548387096774192</v>
      </c>
      <c r="O40" s="291">
        <f t="shared" si="60"/>
        <v>9.3681917211328969</v>
      </c>
      <c r="P40" s="291">
        <f t="shared" si="60"/>
        <v>6.593406593406594</v>
      </c>
      <c r="Q40" s="291">
        <f t="shared" si="60"/>
        <v>83.522727272727266</v>
      </c>
      <c r="R40" s="295" t="s">
        <v>12</v>
      </c>
      <c r="S40" s="291">
        <f t="shared" ref="S40:Y40" si="61">S39/S38*100</f>
        <v>0</v>
      </c>
      <c r="T40" s="291">
        <f>T39/T38*100</f>
        <v>11.745689655172415</v>
      </c>
      <c r="U40" s="291">
        <f t="shared" si="61"/>
        <v>15.22248243559719</v>
      </c>
      <c r="V40" s="291">
        <f t="shared" si="61"/>
        <v>12.781954887218044</v>
      </c>
      <c r="W40" s="291">
        <f t="shared" si="61"/>
        <v>0.46082949308755761</v>
      </c>
      <c r="X40" s="291">
        <f t="shared" si="61"/>
        <v>3.2432432432432434</v>
      </c>
      <c r="Y40" s="291">
        <f t="shared" si="61"/>
        <v>19.224353628023351</v>
      </c>
      <c r="Z40" s="304"/>
      <c r="AA40" s="295" t="s">
        <v>12</v>
      </c>
      <c r="AB40" s="291">
        <f t="shared" ref="AB40:AH40" si="62">AB39/AB38*100</f>
        <v>0</v>
      </c>
      <c r="AC40" s="291">
        <f t="shared" si="62"/>
        <v>2.8571428571428572</v>
      </c>
      <c r="AD40" s="291">
        <f t="shared" si="62"/>
        <v>4.2194092827004219</v>
      </c>
      <c r="AE40" s="291">
        <f t="shared" si="62"/>
        <v>0</v>
      </c>
      <c r="AF40" s="291">
        <f t="shared" si="62"/>
        <v>0</v>
      </c>
      <c r="AG40" s="291">
        <f t="shared" si="62"/>
        <v>0</v>
      </c>
      <c r="AH40" s="291">
        <f t="shared" si="62"/>
        <v>7.9365079365079358</v>
      </c>
      <c r="AI40" s="304"/>
      <c r="AJ40" s="295" t="s">
        <v>12</v>
      </c>
      <c r="AK40" s="291">
        <f>AK39/AK38*100</f>
        <v>0</v>
      </c>
      <c r="AL40" s="291">
        <f t="shared" ref="AL40:AQ40" si="63">AL39/AL38*100</f>
        <v>0</v>
      </c>
      <c r="AM40" s="291">
        <f t="shared" si="63"/>
        <v>0</v>
      </c>
      <c r="AN40" s="291">
        <f t="shared" si="63"/>
        <v>0</v>
      </c>
      <c r="AO40" s="291">
        <f t="shared" si="63"/>
        <v>0</v>
      </c>
      <c r="AP40" s="291">
        <f t="shared" si="63"/>
        <v>0</v>
      </c>
      <c r="AQ40" s="291">
        <f t="shared" si="63"/>
        <v>0</v>
      </c>
    </row>
    <row r="41" spans="1:43">
      <c r="A41" s="1"/>
      <c r="B41" s="52"/>
      <c r="C41" s="1"/>
      <c r="D41" s="1"/>
      <c r="E41" s="1"/>
      <c r="F41" s="1"/>
      <c r="G41" s="1"/>
      <c r="H41" s="1"/>
      <c r="K41" s="53"/>
      <c r="T41" s="53"/>
      <c r="AC41" s="53"/>
      <c r="AL41" s="53"/>
    </row>
    <row r="42" spans="1:43">
      <c r="A42" t="s">
        <v>49</v>
      </c>
    </row>
    <row r="43" spans="1:43">
      <c r="A43" s="129" t="s">
        <v>0</v>
      </c>
      <c r="B43" s="129" t="s">
        <v>1</v>
      </c>
      <c r="C43" s="129" t="s">
        <v>2</v>
      </c>
      <c r="D43" s="129" t="s">
        <v>3</v>
      </c>
      <c r="E43" s="129" t="s">
        <v>4</v>
      </c>
      <c r="F43" s="129" t="s">
        <v>5</v>
      </c>
      <c r="G43" s="129" t="s">
        <v>6</v>
      </c>
      <c r="H43" s="129" t="s">
        <v>7</v>
      </c>
    </row>
    <row r="44" spans="1:43">
      <c r="A44" s="129"/>
      <c r="B44" s="129" t="s">
        <v>8</v>
      </c>
      <c r="C44" s="129" t="s">
        <v>9</v>
      </c>
      <c r="D44" s="129" t="s">
        <v>10</v>
      </c>
      <c r="E44" s="129" t="s">
        <v>9</v>
      </c>
      <c r="F44" s="129" t="s">
        <v>9</v>
      </c>
      <c r="G44" s="129" t="s">
        <v>9</v>
      </c>
      <c r="H44" s="129" t="s">
        <v>9</v>
      </c>
    </row>
    <row r="45" spans="1:43">
      <c r="A45" s="129" t="s">
        <v>17</v>
      </c>
      <c r="B45" s="129"/>
      <c r="C45" s="129"/>
      <c r="D45" s="129"/>
      <c r="E45" s="129"/>
      <c r="F45" s="129"/>
      <c r="G45" s="129"/>
      <c r="H45" s="129"/>
    </row>
    <row r="46" spans="1:43">
      <c r="A46" s="129" t="s">
        <v>40</v>
      </c>
      <c r="B46" s="129">
        <f t="shared" ref="B46:H47" si="64">K9+S9+AK9</f>
        <v>742.2</v>
      </c>
      <c r="C46" s="129">
        <f t="shared" si="64"/>
        <v>43015</v>
      </c>
      <c r="D46" s="129">
        <f t="shared" si="64"/>
        <v>35025</v>
      </c>
      <c r="E46" s="129">
        <f t="shared" si="64"/>
        <v>7011</v>
      </c>
      <c r="F46" s="129">
        <f t="shared" si="64"/>
        <v>6187</v>
      </c>
      <c r="G46" s="129">
        <f t="shared" si="64"/>
        <v>4071</v>
      </c>
      <c r="H46" s="129">
        <f t="shared" si="64"/>
        <v>17756</v>
      </c>
    </row>
    <row r="47" spans="1:43">
      <c r="A47" s="129" t="s">
        <v>50</v>
      </c>
      <c r="B47" s="129">
        <f t="shared" si="64"/>
        <v>415.3</v>
      </c>
      <c r="C47" s="129">
        <f t="shared" si="64"/>
        <v>26179</v>
      </c>
      <c r="D47" s="129">
        <f t="shared" si="64"/>
        <v>22595</v>
      </c>
      <c r="E47" s="129">
        <f t="shared" si="64"/>
        <v>4203</v>
      </c>
      <c r="F47" s="129">
        <f t="shared" si="64"/>
        <v>1576</v>
      </c>
      <c r="G47" s="129">
        <f t="shared" si="64"/>
        <v>224</v>
      </c>
      <c r="H47" s="129">
        <f t="shared" si="64"/>
        <v>16592</v>
      </c>
    </row>
    <row r="48" spans="1:43">
      <c r="A48" s="129" t="s">
        <v>44</v>
      </c>
      <c r="B48" s="129">
        <f>B47/B46*100</f>
        <v>55.955268121800053</v>
      </c>
      <c r="C48" s="129">
        <f t="shared" ref="C48:H48" si="65">C47/C46*100</f>
        <v>60.860165058700453</v>
      </c>
      <c r="D48" s="129">
        <f t="shared" si="65"/>
        <v>64.511063526052808</v>
      </c>
      <c r="E48" s="129">
        <f t="shared" si="65"/>
        <v>59.948652118100135</v>
      </c>
      <c r="F48" s="129">
        <f t="shared" si="65"/>
        <v>25.47276547599806</v>
      </c>
      <c r="G48" s="129">
        <f t="shared" si="65"/>
        <v>5.5023335789732251</v>
      </c>
      <c r="H48" s="129">
        <f t="shared" si="65"/>
        <v>93.444469475107013</v>
      </c>
    </row>
    <row r="49" spans="1:8">
      <c r="A49" s="129" t="s">
        <v>11</v>
      </c>
      <c r="B49" s="129"/>
      <c r="C49" s="129"/>
      <c r="D49" s="129"/>
      <c r="E49" s="129"/>
      <c r="F49" s="129"/>
      <c r="G49" s="129"/>
      <c r="H49" s="129"/>
    </row>
    <row r="50" spans="1:8">
      <c r="A50" s="129" t="s">
        <v>40</v>
      </c>
      <c r="B50" s="129">
        <f t="shared" ref="B50:H51" si="66">K13+S13+AK13</f>
        <v>211</v>
      </c>
      <c r="C50" s="129">
        <f t="shared" si="66"/>
        <v>12760</v>
      </c>
      <c r="D50" s="129">
        <f t="shared" si="66"/>
        <v>10021</v>
      </c>
      <c r="E50" s="129">
        <f t="shared" si="66"/>
        <v>2052</v>
      </c>
      <c r="F50" s="129">
        <f t="shared" si="66"/>
        <v>3416</v>
      </c>
      <c r="G50" s="129">
        <f t="shared" si="66"/>
        <v>1397</v>
      </c>
      <c r="H50" s="129">
        <f t="shared" si="66"/>
        <v>3156</v>
      </c>
    </row>
    <row r="51" spans="1:8">
      <c r="A51" s="129" t="s">
        <v>50</v>
      </c>
      <c r="B51" s="129">
        <f t="shared" si="66"/>
        <v>119.10000000000001</v>
      </c>
      <c r="C51" s="129">
        <f t="shared" si="66"/>
        <v>8120</v>
      </c>
      <c r="D51" s="129">
        <f t="shared" si="66"/>
        <v>6529</v>
      </c>
      <c r="E51" s="129">
        <f t="shared" si="66"/>
        <v>2118</v>
      </c>
      <c r="F51" s="129">
        <f t="shared" si="66"/>
        <v>1098</v>
      </c>
      <c r="G51" s="129">
        <f t="shared" si="66"/>
        <v>23</v>
      </c>
      <c r="H51" s="129">
        <f t="shared" si="66"/>
        <v>3290</v>
      </c>
    </row>
    <row r="52" spans="1:8">
      <c r="A52" s="129" t="s">
        <v>44</v>
      </c>
      <c r="B52" s="129">
        <f t="shared" ref="B52:H52" si="67">B51/B50*100</f>
        <v>56.445497630331751</v>
      </c>
      <c r="C52" s="129">
        <f t="shared" si="67"/>
        <v>63.636363636363633</v>
      </c>
      <c r="D52" s="129">
        <f t="shared" si="67"/>
        <v>65.153178325516421</v>
      </c>
      <c r="E52" s="129">
        <f t="shared" si="67"/>
        <v>103.21637426900585</v>
      </c>
      <c r="F52" s="129">
        <f t="shared" si="67"/>
        <v>32.142857142857146</v>
      </c>
      <c r="G52" s="129">
        <f t="shared" si="67"/>
        <v>1.6463851109520402</v>
      </c>
      <c r="H52" s="129">
        <f t="shared" si="67"/>
        <v>104.24588086185045</v>
      </c>
    </row>
    <row r="53" spans="1:8">
      <c r="A53" s="129" t="s">
        <v>13</v>
      </c>
      <c r="B53" s="129">
        <f t="shared" ref="B53:H55" si="68">K16+S16+AK16</f>
        <v>104</v>
      </c>
      <c r="C53" s="129">
        <f t="shared" si="68"/>
        <v>4476</v>
      </c>
      <c r="D53" s="129">
        <f t="shared" si="68"/>
        <v>3349</v>
      </c>
      <c r="E53" s="129">
        <f t="shared" si="68"/>
        <v>1239</v>
      </c>
      <c r="F53" s="129">
        <f t="shared" si="68"/>
        <v>670</v>
      </c>
      <c r="G53" s="129">
        <f t="shared" si="68"/>
        <v>7</v>
      </c>
      <c r="H53" s="129">
        <f t="shared" si="68"/>
        <v>1433</v>
      </c>
    </row>
    <row r="54" spans="1:8">
      <c r="A54" s="129" t="s">
        <v>14</v>
      </c>
      <c r="B54" s="129">
        <f t="shared" si="68"/>
        <v>4.4000000000000004</v>
      </c>
      <c r="C54" s="129">
        <f t="shared" si="68"/>
        <v>445</v>
      </c>
      <c r="D54" s="129">
        <f t="shared" si="68"/>
        <v>395</v>
      </c>
      <c r="E54" s="129">
        <f t="shared" si="68"/>
        <v>72</v>
      </c>
      <c r="F54" s="129">
        <f t="shared" si="68"/>
        <v>70</v>
      </c>
      <c r="G54" s="129">
        <f t="shared" si="68"/>
        <v>5</v>
      </c>
      <c r="H54" s="129">
        <f t="shared" si="68"/>
        <v>248</v>
      </c>
    </row>
    <row r="55" spans="1:8">
      <c r="A55" s="129" t="s">
        <v>15</v>
      </c>
      <c r="B55" s="129">
        <f t="shared" si="68"/>
        <v>0</v>
      </c>
      <c r="C55" s="129">
        <f t="shared" si="68"/>
        <v>0</v>
      </c>
      <c r="D55" s="129">
        <f t="shared" si="68"/>
        <v>0</v>
      </c>
      <c r="E55" s="129">
        <f t="shared" si="68"/>
        <v>0</v>
      </c>
      <c r="F55" s="129">
        <f t="shared" si="68"/>
        <v>0</v>
      </c>
      <c r="G55" s="129">
        <f t="shared" si="68"/>
        <v>0</v>
      </c>
      <c r="H55" s="129">
        <f t="shared" si="68"/>
        <v>0</v>
      </c>
    </row>
    <row r="56" spans="1:8">
      <c r="A56" s="129" t="s">
        <v>16</v>
      </c>
      <c r="B56" s="129"/>
      <c r="C56" s="129"/>
      <c r="D56" s="129"/>
      <c r="E56" s="129"/>
      <c r="F56" s="129"/>
      <c r="G56" s="129"/>
      <c r="H56" s="129"/>
    </row>
    <row r="57" spans="1:8">
      <c r="A57" s="129" t="s">
        <v>40</v>
      </c>
      <c r="B57" s="129">
        <f t="shared" ref="B57:H58" si="69">K20+S20+AK20</f>
        <v>531.20000000000005</v>
      </c>
      <c r="C57" s="129">
        <f t="shared" si="69"/>
        <v>30255</v>
      </c>
      <c r="D57" s="129">
        <f t="shared" si="69"/>
        <v>25004</v>
      </c>
      <c r="E57" s="129">
        <f t="shared" si="69"/>
        <v>4959</v>
      </c>
      <c r="F57" s="129">
        <f t="shared" si="69"/>
        <v>2771</v>
      </c>
      <c r="G57" s="129">
        <f t="shared" si="69"/>
        <v>2674</v>
      </c>
      <c r="H57" s="129">
        <f t="shared" si="69"/>
        <v>14600</v>
      </c>
    </row>
    <row r="58" spans="1:8">
      <c r="A58" s="129" t="s">
        <v>50</v>
      </c>
      <c r="B58" s="129">
        <f t="shared" si="69"/>
        <v>296.2</v>
      </c>
      <c r="C58" s="129">
        <f t="shared" si="69"/>
        <v>18059</v>
      </c>
      <c r="D58" s="129">
        <f t="shared" si="69"/>
        <v>16066</v>
      </c>
      <c r="E58" s="129">
        <f t="shared" si="69"/>
        <v>2085</v>
      </c>
      <c r="F58" s="129">
        <f t="shared" si="69"/>
        <v>478</v>
      </c>
      <c r="G58" s="129">
        <f t="shared" si="69"/>
        <v>201</v>
      </c>
      <c r="H58" s="129">
        <f t="shared" si="69"/>
        <v>13302</v>
      </c>
    </row>
    <row r="59" spans="1:8">
      <c r="A59" s="129" t="s">
        <v>44</v>
      </c>
      <c r="B59" s="129">
        <f t="shared" ref="B59:H59" si="70">B58/B57*100</f>
        <v>55.760542168674689</v>
      </c>
      <c r="C59" s="129">
        <f t="shared" si="70"/>
        <v>59.689307552470659</v>
      </c>
      <c r="D59" s="129">
        <f t="shared" si="70"/>
        <v>64.253719404895222</v>
      </c>
      <c r="E59" s="129">
        <f t="shared" si="70"/>
        <v>42.044767090139139</v>
      </c>
      <c r="F59" s="129">
        <f t="shared" si="70"/>
        <v>17.250090220137135</v>
      </c>
      <c r="G59" s="129">
        <f t="shared" si="70"/>
        <v>7.5168287210172036</v>
      </c>
      <c r="H59" s="129">
        <f t="shared" si="70"/>
        <v>91.109589041095902</v>
      </c>
    </row>
    <row r="60" spans="1:8">
      <c r="A60" s="129" t="s">
        <v>21</v>
      </c>
      <c r="B60" s="129">
        <f t="shared" ref="B60:H61" si="71">K23+S23+AK23</f>
        <v>212</v>
      </c>
      <c r="C60" s="129">
        <f t="shared" si="71"/>
        <v>14745</v>
      </c>
      <c r="D60" s="129">
        <f t="shared" si="71"/>
        <v>12534</v>
      </c>
      <c r="E60" s="129">
        <f t="shared" si="71"/>
        <v>4114</v>
      </c>
      <c r="F60" s="129">
        <f t="shared" si="71"/>
        <v>1329</v>
      </c>
      <c r="G60" s="129">
        <f t="shared" si="71"/>
        <v>975</v>
      </c>
      <c r="H60" s="129">
        <f t="shared" si="71"/>
        <v>6116</v>
      </c>
    </row>
    <row r="61" spans="1:8">
      <c r="A61" s="129" t="s">
        <v>51</v>
      </c>
      <c r="B61" s="129">
        <f t="shared" si="71"/>
        <v>210.1</v>
      </c>
      <c r="C61" s="129">
        <f t="shared" si="71"/>
        <v>10398</v>
      </c>
      <c r="D61" s="129">
        <f t="shared" si="71"/>
        <v>8657</v>
      </c>
      <c r="E61" s="129">
        <f t="shared" si="71"/>
        <v>1754</v>
      </c>
      <c r="F61" s="129">
        <f t="shared" si="71"/>
        <v>328</v>
      </c>
      <c r="G61" s="129">
        <f t="shared" si="71"/>
        <v>166</v>
      </c>
      <c r="H61" s="129">
        <f t="shared" si="71"/>
        <v>6409</v>
      </c>
    </row>
    <row r="62" spans="1:8">
      <c r="A62" s="129" t="s">
        <v>12</v>
      </c>
      <c r="B62" s="129">
        <f t="shared" ref="B62:H62" si="72">B61/B60*100</f>
        <v>99.103773584905653</v>
      </c>
      <c r="C62" s="129">
        <f t="shared" si="72"/>
        <v>70.518819938962366</v>
      </c>
      <c r="D62" s="129">
        <f t="shared" si="72"/>
        <v>69.068134673687567</v>
      </c>
      <c r="E62" s="129">
        <f t="shared" si="72"/>
        <v>42.634905201750122</v>
      </c>
      <c r="F62" s="129">
        <f t="shared" si="72"/>
        <v>24.680210684725356</v>
      </c>
      <c r="G62" s="129">
        <f t="shared" si="72"/>
        <v>17.025641025641026</v>
      </c>
      <c r="H62" s="129">
        <f t="shared" si="72"/>
        <v>104.79071288423808</v>
      </c>
    </row>
    <row r="63" spans="1:8">
      <c r="A63" s="129" t="s">
        <v>23</v>
      </c>
      <c r="B63" s="129">
        <f t="shared" ref="B63:H64" si="73">K26+S26+AK26</f>
        <v>12</v>
      </c>
      <c r="C63" s="129">
        <f t="shared" si="73"/>
        <v>445</v>
      </c>
      <c r="D63" s="129">
        <f t="shared" si="73"/>
        <v>351</v>
      </c>
      <c r="E63" s="129">
        <f t="shared" si="73"/>
        <v>56</v>
      </c>
      <c r="F63" s="129">
        <f t="shared" si="73"/>
        <v>80</v>
      </c>
      <c r="G63" s="129">
        <f t="shared" si="73"/>
        <v>33</v>
      </c>
      <c r="H63" s="129">
        <f t="shared" si="73"/>
        <v>182</v>
      </c>
    </row>
    <row r="64" spans="1:8">
      <c r="A64" s="129" t="s">
        <v>45</v>
      </c>
      <c r="B64" s="129">
        <f t="shared" si="73"/>
        <v>6.2</v>
      </c>
      <c r="C64" s="129">
        <f t="shared" si="73"/>
        <v>523</v>
      </c>
      <c r="D64" s="129">
        <f t="shared" si="73"/>
        <v>511</v>
      </c>
      <c r="E64" s="129">
        <f t="shared" si="73"/>
        <v>40</v>
      </c>
      <c r="F64" s="129">
        <f t="shared" si="73"/>
        <v>2</v>
      </c>
      <c r="G64" s="129">
        <f t="shared" si="73"/>
        <v>0</v>
      </c>
      <c r="H64" s="129">
        <f t="shared" si="73"/>
        <v>469</v>
      </c>
    </row>
    <row r="65" spans="1:8">
      <c r="A65" s="129" t="s">
        <v>12</v>
      </c>
      <c r="B65" s="129">
        <f t="shared" ref="B65:H65" si="74">B64/B63*100</f>
        <v>51.666666666666671</v>
      </c>
      <c r="C65" s="129">
        <f t="shared" si="74"/>
        <v>117.52808988764045</v>
      </c>
      <c r="D65" s="129">
        <f t="shared" si="74"/>
        <v>145.58404558404558</v>
      </c>
      <c r="E65" s="129">
        <f t="shared" si="74"/>
        <v>71.428571428571431</v>
      </c>
      <c r="F65" s="129">
        <f t="shared" si="74"/>
        <v>2.5</v>
      </c>
      <c r="G65" s="129">
        <f t="shared" si="74"/>
        <v>0</v>
      </c>
      <c r="H65" s="129">
        <f t="shared" si="74"/>
        <v>257.69230769230774</v>
      </c>
    </row>
    <row r="66" spans="1:8">
      <c r="A66" s="129" t="s">
        <v>25</v>
      </c>
      <c r="B66" s="129">
        <f t="shared" ref="B66:H67" si="75">K29+S29+AK29</f>
        <v>52</v>
      </c>
      <c r="C66" s="129">
        <f t="shared" si="75"/>
        <v>2960</v>
      </c>
      <c r="D66" s="129">
        <f t="shared" si="75"/>
        <v>2432</v>
      </c>
      <c r="E66" s="129">
        <f t="shared" si="75"/>
        <v>196</v>
      </c>
      <c r="F66" s="129">
        <f t="shared" si="75"/>
        <v>306</v>
      </c>
      <c r="G66" s="129">
        <f t="shared" si="75"/>
        <v>241</v>
      </c>
      <c r="H66" s="129">
        <f t="shared" si="75"/>
        <v>1689</v>
      </c>
    </row>
    <row r="67" spans="1:8">
      <c r="A67" s="129" t="s">
        <v>46</v>
      </c>
      <c r="B67" s="129">
        <f t="shared" si="75"/>
        <v>17.399999999999999</v>
      </c>
      <c r="C67" s="129">
        <f t="shared" si="75"/>
        <v>571</v>
      </c>
      <c r="D67" s="129">
        <f t="shared" si="75"/>
        <v>567</v>
      </c>
      <c r="E67" s="129">
        <f t="shared" si="75"/>
        <v>0</v>
      </c>
      <c r="F67" s="129">
        <f t="shared" si="75"/>
        <v>0</v>
      </c>
      <c r="G67" s="129">
        <f t="shared" si="75"/>
        <v>0</v>
      </c>
      <c r="H67" s="129">
        <f t="shared" si="75"/>
        <v>567</v>
      </c>
    </row>
    <row r="68" spans="1:8">
      <c r="A68" s="129" t="s">
        <v>12</v>
      </c>
      <c r="B68" s="129">
        <f t="shared" ref="B68:H68" si="76">B67/B66*100</f>
        <v>33.46153846153846</v>
      </c>
      <c r="C68" s="129">
        <f t="shared" si="76"/>
        <v>19.29054054054054</v>
      </c>
      <c r="D68" s="129">
        <f t="shared" si="76"/>
        <v>23.314144736842106</v>
      </c>
      <c r="E68" s="129">
        <f t="shared" si="76"/>
        <v>0</v>
      </c>
      <c r="F68" s="129">
        <f t="shared" si="76"/>
        <v>0</v>
      </c>
      <c r="G68" s="129">
        <f t="shared" si="76"/>
        <v>0</v>
      </c>
      <c r="H68" s="129">
        <f t="shared" si="76"/>
        <v>33.570159857904088</v>
      </c>
    </row>
    <row r="69" spans="1:8">
      <c r="A69" s="129" t="s">
        <v>27</v>
      </c>
      <c r="B69" s="129">
        <f t="shared" ref="B69:H70" si="77">K32+S32+AK32</f>
        <v>1.2</v>
      </c>
      <c r="C69" s="129">
        <f t="shared" si="77"/>
        <v>170</v>
      </c>
      <c r="D69" s="129">
        <f t="shared" si="77"/>
        <v>127</v>
      </c>
      <c r="E69" s="129">
        <f t="shared" si="77"/>
        <v>21</v>
      </c>
      <c r="F69" s="129">
        <f t="shared" si="77"/>
        <v>40</v>
      </c>
      <c r="G69" s="129">
        <f t="shared" si="77"/>
        <v>23</v>
      </c>
      <c r="H69" s="129">
        <f t="shared" si="77"/>
        <v>43</v>
      </c>
    </row>
    <row r="70" spans="1:8">
      <c r="A70" s="129" t="s">
        <v>47</v>
      </c>
      <c r="B70" s="129">
        <f t="shared" si="77"/>
        <v>0</v>
      </c>
      <c r="C70" s="129">
        <f t="shared" si="77"/>
        <v>7</v>
      </c>
      <c r="D70" s="129">
        <f t="shared" si="77"/>
        <v>7</v>
      </c>
      <c r="E70" s="129">
        <f t="shared" si="77"/>
        <v>5</v>
      </c>
      <c r="F70" s="129">
        <f t="shared" si="77"/>
        <v>0</v>
      </c>
      <c r="G70" s="129">
        <f t="shared" si="77"/>
        <v>1</v>
      </c>
      <c r="H70" s="129">
        <f t="shared" si="77"/>
        <v>1</v>
      </c>
    </row>
    <row r="71" spans="1:8">
      <c r="A71" s="129" t="s">
        <v>12</v>
      </c>
      <c r="B71" s="129">
        <f t="shared" ref="B71:H71" si="78">B70/B69*100</f>
        <v>0</v>
      </c>
      <c r="C71" s="129">
        <f t="shared" si="78"/>
        <v>4.117647058823529</v>
      </c>
      <c r="D71" s="129">
        <f t="shared" si="78"/>
        <v>5.5118110236220472</v>
      </c>
      <c r="E71" s="129">
        <f t="shared" si="78"/>
        <v>23.809523809523807</v>
      </c>
      <c r="F71" s="129">
        <f t="shared" si="78"/>
        <v>0</v>
      </c>
      <c r="G71" s="129">
        <f t="shared" si="78"/>
        <v>4.3478260869565215</v>
      </c>
      <c r="H71" s="129">
        <f t="shared" si="78"/>
        <v>2.3255813953488373</v>
      </c>
    </row>
    <row r="72" spans="1:8">
      <c r="A72" s="129" t="s">
        <v>29</v>
      </c>
      <c r="B72" s="129">
        <f t="shared" ref="B72:H73" si="79">K35+S35+AK35</f>
        <v>64</v>
      </c>
      <c r="C72" s="129">
        <f t="shared" si="79"/>
        <v>4365</v>
      </c>
      <c r="D72" s="129">
        <f t="shared" si="79"/>
        <v>3551</v>
      </c>
      <c r="E72" s="129">
        <f t="shared" si="79"/>
        <v>0</v>
      </c>
      <c r="F72" s="129">
        <f t="shared" si="79"/>
        <v>70</v>
      </c>
      <c r="G72" s="129">
        <f t="shared" si="79"/>
        <v>945</v>
      </c>
      <c r="H72" s="129">
        <f t="shared" si="79"/>
        <v>2536</v>
      </c>
    </row>
    <row r="73" spans="1:8">
      <c r="A73" s="129" t="s">
        <v>48</v>
      </c>
      <c r="B73" s="129">
        <f t="shared" si="79"/>
        <v>62.5</v>
      </c>
      <c r="C73" s="129">
        <f t="shared" si="79"/>
        <v>4681</v>
      </c>
      <c r="D73" s="129">
        <f t="shared" si="79"/>
        <v>4575</v>
      </c>
      <c r="E73" s="129">
        <f t="shared" si="79"/>
        <v>90</v>
      </c>
      <c r="F73" s="129">
        <f t="shared" si="79"/>
        <v>103</v>
      </c>
      <c r="G73" s="129">
        <f t="shared" si="79"/>
        <v>16</v>
      </c>
      <c r="H73" s="129">
        <f t="shared" si="79"/>
        <v>4366</v>
      </c>
    </row>
    <row r="74" spans="1:8">
      <c r="A74" s="129" t="s">
        <v>12</v>
      </c>
      <c r="B74" s="129">
        <f t="shared" ref="B74:H74" si="80">B73/B72*100</f>
        <v>97.65625</v>
      </c>
      <c r="C74" s="129">
        <f t="shared" si="80"/>
        <v>107.23940435280642</v>
      </c>
      <c r="D74" s="129">
        <f t="shared" si="80"/>
        <v>128.8369473387778</v>
      </c>
      <c r="E74" s="129" t="e">
        <f t="shared" si="80"/>
        <v>#DIV/0!</v>
      </c>
      <c r="F74" s="129">
        <f t="shared" si="80"/>
        <v>147.14285714285717</v>
      </c>
      <c r="G74" s="129">
        <f t="shared" si="80"/>
        <v>1.6931216931216932</v>
      </c>
      <c r="H74" s="129">
        <f t="shared" si="80"/>
        <v>172.1608832807571</v>
      </c>
    </row>
    <row r="75" spans="1:8">
      <c r="A75" s="129" t="s">
        <v>31</v>
      </c>
      <c r="B75" s="129">
        <f t="shared" ref="B75:H76" si="81">K38+S38+AK38</f>
        <v>190</v>
      </c>
      <c r="C75" s="129">
        <f t="shared" si="81"/>
        <v>7570</v>
      </c>
      <c r="D75" s="129">
        <f t="shared" si="81"/>
        <v>6009</v>
      </c>
      <c r="E75" s="129">
        <f t="shared" si="81"/>
        <v>572</v>
      </c>
      <c r="F75" s="129">
        <f t="shared" si="81"/>
        <v>946</v>
      </c>
      <c r="G75" s="129">
        <f t="shared" si="81"/>
        <v>457</v>
      </c>
      <c r="H75" s="129">
        <f t="shared" si="81"/>
        <v>4034</v>
      </c>
    </row>
    <row r="76" spans="1:8">
      <c r="A76" s="129" t="s">
        <v>52</v>
      </c>
      <c r="B76" s="129">
        <f t="shared" si="81"/>
        <v>0</v>
      </c>
      <c r="C76" s="129">
        <f t="shared" si="81"/>
        <v>1879</v>
      </c>
      <c r="D76" s="129">
        <f t="shared" si="81"/>
        <v>1749</v>
      </c>
      <c r="E76" s="129">
        <f t="shared" si="81"/>
        <v>196</v>
      </c>
      <c r="F76" s="129">
        <f t="shared" si="81"/>
        <v>45</v>
      </c>
      <c r="G76" s="129">
        <f t="shared" si="81"/>
        <v>18</v>
      </c>
      <c r="H76" s="129">
        <f t="shared" si="81"/>
        <v>1490</v>
      </c>
    </row>
    <row r="77" spans="1:8">
      <c r="A77" s="129" t="s">
        <v>12</v>
      </c>
      <c r="B77" s="129">
        <f t="shared" ref="B77:H77" si="82">B76/B75*100</f>
        <v>0</v>
      </c>
      <c r="C77" s="129">
        <f t="shared" si="82"/>
        <v>24.821664464993397</v>
      </c>
      <c r="D77" s="129">
        <f t="shared" si="82"/>
        <v>29.106340489266103</v>
      </c>
      <c r="E77" s="129">
        <f t="shared" si="82"/>
        <v>34.265734265734267</v>
      </c>
      <c r="F77" s="129">
        <f t="shared" si="82"/>
        <v>4.7568710359408035</v>
      </c>
      <c r="G77" s="129">
        <f t="shared" si="82"/>
        <v>3.9387308533916849</v>
      </c>
      <c r="H77" s="129">
        <f t="shared" si="82"/>
        <v>36.936043629152202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3">B9-B46</f>
        <v>0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0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0</v>
      </c>
      <c r="C85" s="83">
        <f t="shared" si="83"/>
        <v>0</v>
      </c>
      <c r="D85" s="83">
        <f t="shared" si="83"/>
        <v>0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0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0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0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0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>
        <f t="shared" ref="B99:H114" si="84">B25-B62</f>
        <v>0</v>
      </c>
      <c r="C99" s="83">
        <f t="shared" si="84"/>
        <v>0</v>
      </c>
      <c r="D99" s="83">
        <f t="shared" si="84"/>
        <v>0</v>
      </c>
      <c r="E99" s="83">
        <f t="shared" si="84"/>
        <v>0</v>
      </c>
      <c r="F99" s="83">
        <f t="shared" si="84"/>
        <v>0</v>
      </c>
      <c r="G99" s="83">
        <f t="shared" si="84"/>
        <v>0</v>
      </c>
      <c r="H99" s="83">
        <f t="shared" si="84"/>
        <v>0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 t="e">
        <f t="shared" si="84"/>
        <v>#DIV/0!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0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0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9">
    <mergeCell ref="AA19:AH19"/>
    <mergeCell ref="R8:Y8"/>
    <mergeCell ref="AA8:AH8"/>
    <mergeCell ref="B1:H1"/>
    <mergeCell ref="B2:H2"/>
    <mergeCell ref="A5:H5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</mergeCells>
  <phoneticPr fontId="17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AW114"/>
  <sheetViews>
    <sheetView zoomScale="85" zoomScaleNormal="85" workbookViewId="0">
      <selection sqref="A1:XFD40"/>
    </sheetView>
  </sheetViews>
  <sheetFormatPr defaultRowHeight="13.2"/>
  <cols>
    <col min="1" max="1" width="14.5546875" customWidth="1"/>
    <col min="9" max="9" width="6.33203125" customWidth="1"/>
    <col min="10" max="10" width="15" customWidth="1"/>
    <col min="11" max="11" width="6.5546875" customWidth="1"/>
    <col min="12" max="12" width="7" customWidth="1"/>
    <col min="13" max="13" width="7.109375" customWidth="1"/>
    <col min="14" max="14" width="6.6640625" customWidth="1"/>
    <col min="18" max="18" width="16" customWidth="1"/>
    <col min="19" max="20" width="7.6640625" customWidth="1"/>
    <col min="22" max="22" width="6.109375" customWidth="1"/>
    <col min="23" max="23" width="6.88671875" customWidth="1"/>
    <col min="24" max="24" width="7.88671875" customWidth="1"/>
    <col min="25" max="25" width="6.6640625" customWidth="1"/>
    <col min="26" max="26" width="8" customWidth="1"/>
    <col min="27" max="27" width="16.5546875" customWidth="1"/>
    <col min="28" max="28" width="5.6640625" customWidth="1"/>
    <col min="29" max="29" width="8.33203125" customWidth="1"/>
    <col min="31" max="31" width="5.88671875" customWidth="1"/>
  </cols>
  <sheetData>
    <row r="1" spans="1:44" s="37" customFormat="1" ht="10.5" customHeight="1">
      <c r="Q1" s="38" t="s">
        <v>33</v>
      </c>
    </row>
    <row r="2" spans="1:44" s="12" customFormat="1" ht="13.5" customHeight="1">
      <c r="H2" s="39" t="s">
        <v>34</v>
      </c>
      <c r="I2" s="39"/>
    </row>
    <row r="3" spans="1:44" s="12" customFormat="1" ht="15" customHeight="1">
      <c r="B3" s="12" t="s">
        <v>79</v>
      </c>
      <c r="C3"/>
      <c r="D3"/>
      <c r="E3"/>
      <c r="F3"/>
      <c r="G3"/>
      <c r="H3"/>
      <c r="I3"/>
    </row>
    <row r="4" spans="1:44" s="37" customFormat="1" ht="31.5" customHeight="1">
      <c r="A4" s="494" t="s">
        <v>80</v>
      </c>
      <c r="B4" s="494"/>
      <c r="C4" s="494"/>
      <c r="D4" s="494"/>
      <c r="E4" s="494"/>
      <c r="F4" s="494"/>
      <c r="G4" s="494"/>
      <c r="H4" s="494"/>
      <c r="I4" s="223"/>
      <c r="J4" s="40"/>
      <c r="K4" s="40"/>
      <c r="L4" s="12"/>
      <c r="M4" s="12"/>
      <c r="N4" s="12"/>
      <c r="O4" s="12"/>
      <c r="P4" s="12"/>
      <c r="Q4" s="12"/>
      <c r="R4" s="12"/>
    </row>
    <row r="5" spans="1:44" ht="16.5" customHeight="1">
      <c r="A5" s="13" t="s">
        <v>35</v>
      </c>
      <c r="B5" s="1"/>
      <c r="C5" s="1"/>
      <c r="D5" s="1"/>
      <c r="F5" s="10"/>
      <c r="G5" s="1"/>
      <c r="H5" s="1"/>
      <c r="I5" s="1"/>
      <c r="J5" s="2" t="s">
        <v>36</v>
      </c>
      <c r="P5" s="2"/>
      <c r="Q5" s="115"/>
      <c r="R5" s="13" t="s">
        <v>37</v>
      </c>
      <c r="X5" s="13"/>
      <c r="Y5" s="13"/>
      <c r="Z5" s="13"/>
      <c r="AA5" s="34" t="s">
        <v>38</v>
      </c>
      <c r="AD5" s="34"/>
      <c r="AE5" s="34"/>
      <c r="AF5" s="34"/>
      <c r="AG5" s="34"/>
      <c r="AH5" s="34"/>
      <c r="AI5" s="54"/>
      <c r="AJ5" s="2" t="s">
        <v>59</v>
      </c>
      <c r="AR5" s="2"/>
    </row>
    <row r="6" spans="1:44">
      <c r="A6" s="3" t="s">
        <v>0</v>
      </c>
      <c r="B6" s="4" t="s">
        <v>1</v>
      </c>
      <c r="C6" s="55" t="s">
        <v>2</v>
      </c>
      <c r="D6" s="4" t="s">
        <v>3</v>
      </c>
      <c r="E6" s="55" t="s">
        <v>4</v>
      </c>
      <c r="F6" s="4" t="s">
        <v>5</v>
      </c>
      <c r="G6" s="55" t="s">
        <v>6</v>
      </c>
      <c r="H6" s="4" t="s">
        <v>7</v>
      </c>
      <c r="I6" s="1"/>
      <c r="J6" s="56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58"/>
      <c r="AA6" s="59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0" t="s">
        <v>9</v>
      </c>
      <c r="D7" s="5" t="s">
        <v>10</v>
      </c>
      <c r="E7" s="60" t="s">
        <v>9</v>
      </c>
      <c r="F7" s="5" t="s">
        <v>9</v>
      </c>
      <c r="G7" s="60" t="s">
        <v>9</v>
      </c>
      <c r="H7" s="5" t="s">
        <v>9</v>
      </c>
      <c r="I7" s="1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58"/>
      <c r="AA7" s="28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115" customFormat="1">
      <c r="A8" s="62" t="s">
        <v>17</v>
      </c>
      <c r="B8" s="409"/>
      <c r="C8" s="409"/>
      <c r="D8" s="409"/>
      <c r="E8" s="409"/>
      <c r="F8" s="409"/>
      <c r="G8" s="409"/>
      <c r="H8" s="409"/>
      <c r="J8" s="33" t="s">
        <v>17</v>
      </c>
      <c r="K8" s="64"/>
      <c r="L8" s="64"/>
      <c r="M8" s="64"/>
      <c r="N8" s="64"/>
      <c r="O8" s="64"/>
      <c r="P8" s="64"/>
      <c r="Q8" s="64"/>
      <c r="R8" s="33" t="s">
        <v>17</v>
      </c>
      <c r="S8" s="64"/>
      <c r="T8" s="64"/>
      <c r="U8" s="64"/>
      <c r="V8" s="64"/>
      <c r="W8" s="64"/>
      <c r="X8" s="64"/>
      <c r="Y8" s="64"/>
      <c r="Z8" s="252"/>
      <c r="AA8" s="63" t="s">
        <v>17</v>
      </c>
      <c r="AB8" s="64"/>
      <c r="AC8" s="64"/>
      <c r="AD8" s="64"/>
      <c r="AE8" s="64"/>
      <c r="AF8" s="64"/>
      <c r="AG8" s="64"/>
      <c r="AH8" s="64"/>
      <c r="AJ8" s="33" t="s">
        <v>17</v>
      </c>
      <c r="AK8" s="64"/>
      <c r="AL8" s="64"/>
      <c r="AM8" s="64"/>
      <c r="AN8" s="64"/>
      <c r="AO8" s="64"/>
      <c r="AP8" s="64"/>
      <c r="AQ8" s="64"/>
    </row>
    <row r="9" spans="1:44" s="215" customFormat="1" ht="13.8">
      <c r="A9" s="116" t="s">
        <v>40</v>
      </c>
      <c r="B9" s="249">
        <f>+K9+S9+AK9</f>
        <v>714.80000000000007</v>
      </c>
      <c r="C9" s="249">
        <f>+L9+T9+AL9</f>
        <v>31574</v>
      </c>
      <c r="D9" s="249">
        <f>D13+D20</f>
        <v>27450</v>
      </c>
      <c r="E9" s="249">
        <f t="shared" ref="E9:H10" si="0">+N9+V9+AN9</f>
        <v>1311</v>
      </c>
      <c r="F9" s="249">
        <f t="shared" si="0"/>
        <v>6469</v>
      </c>
      <c r="G9" s="249">
        <f t="shared" si="0"/>
        <v>984</v>
      </c>
      <c r="H9" s="249">
        <f t="shared" si="0"/>
        <v>18686</v>
      </c>
      <c r="J9" s="116" t="s">
        <v>40</v>
      </c>
      <c r="K9" s="249">
        <f t="shared" ref="K9:Q10" si="1">K13+K20</f>
        <v>260.39999999999998</v>
      </c>
      <c r="L9" s="249">
        <f t="shared" si="1"/>
        <v>6540</v>
      </c>
      <c r="M9" s="249">
        <f t="shared" si="1"/>
        <v>5412</v>
      </c>
      <c r="N9" s="249">
        <f t="shared" si="1"/>
        <v>223</v>
      </c>
      <c r="O9" s="249">
        <f t="shared" si="1"/>
        <v>1816</v>
      </c>
      <c r="P9" s="249">
        <f t="shared" si="1"/>
        <v>317</v>
      </c>
      <c r="Q9" s="249">
        <f t="shared" si="1"/>
        <v>3056</v>
      </c>
      <c r="R9" s="116" t="s">
        <v>40</v>
      </c>
      <c r="S9" s="249">
        <f t="shared" ref="S9:Y10" si="2">S13+S20</f>
        <v>432.8</v>
      </c>
      <c r="T9" s="249">
        <f t="shared" si="2"/>
        <v>23809</v>
      </c>
      <c r="U9" s="249">
        <f t="shared" si="2"/>
        <v>21042</v>
      </c>
      <c r="V9" s="249">
        <f t="shared" si="2"/>
        <v>1066</v>
      </c>
      <c r="W9" s="249">
        <f t="shared" si="2"/>
        <v>4503</v>
      </c>
      <c r="X9" s="249">
        <f t="shared" si="2"/>
        <v>626</v>
      </c>
      <c r="Y9" s="249">
        <f t="shared" si="2"/>
        <v>14847</v>
      </c>
      <c r="Z9" s="250"/>
      <c r="AA9" s="117" t="s">
        <v>40</v>
      </c>
      <c r="AB9" s="249">
        <f t="shared" ref="AB9:AH10" si="3">AB13+AB20</f>
        <v>15.2</v>
      </c>
      <c r="AC9" s="249">
        <f t="shared" si="3"/>
        <v>1018</v>
      </c>
      <c r="AD9" s="249">
        <f t="shared" si="3"/>
        <v>861</v>
      </c>
      <c r="AE9" s="249">
        <f t="shared" si="3"/>
        <v>308</v>
      </c>
      <c r="AF9" s="249">
        <f t="shared" si="3"/>
        <v>139</v>
      </c>
      <c r="AG9" s="249">
        <f t="shared" si="3"/>
        <v>23</v>
      </c>
      <c r="AH9" s="249">
        <f t="shared" si="3"/>
        <v>391</v>
      </c>
      <c r="AJ9" s="116" t="s">
        <v>40</v>
      </c>
      <c r="AK9" s="249">
        <f t="shared" ref="AK9:AQ10" si="4">AK13+AK20</f>
        <v>21.6</v>
      </c>
      <c r="AL9" s="249">
        <f t="shared" si="4"/>
        <v>1225</v>
      </c>
      <c r="AM9" s="249">
        <f t="shared" si="4"/>
        <v>996</v>
      </c>
      <c r="AN9" s="249">
        <f t="shared" si="4"/>
        <v>22</v>
      </c>
      <c r="AO9" s="249">
        <f t="shared" si="4"/>
        <v>150</v>
      </c>
      <c r="AP9" s="249">
        <f t="shared" si="4"/>
        <v>41</v>
      </c>
      <c r="AQ9" s="249">
        <f t="shared" si="4"/>
        <v>783</v>
      </c>
    </row>
    <row r="10" spans="1:44" s="115" customFormat="1">
      <c r="A10" s="7" t="s">
        <v>41</v>
      </c>
      <c r="B10" s="251">
        <f>+K10+S10+AK10</f>
        <v>914.24999999999989</v>
      </c>
      <c r="C10" s="64">
        <f>+L10+T10+AL10</f>
        <v>29006</v>
      </c>
      <c r="D10" s="64">
        <f>E10+F10+G10+H10</f>
        <v>26065</v>
      </c>
      <c r="E10" s="64">
        <f t="shared" si="0"/>
        <v>2656</v>
      </c>
      <c r="F10" s="64">
        <f t="shared" si="0"/>
        <v>2065</v>
      </c>
      <c r="G10" s="64">
        <f t="shared" si="0"/>
        <v>212</v>
      </c>
      <c r="H10" s="64">
        <f t="shared" si="0"/>
        <v>21132</v>
      </c>
      <c r="J10" s="7" t="s">
        <v>41</v>
      </c>
      <c r="K10" s="189">
        <f>K14+K21</f>
        <v>264</v>
      </c>
      <c r="L10" s="190">
        <f t="shared" si="1"/>
        <v>6926</v>
      </c>
      <c r="M10" s="190">
        <f t="shared" si="1"/>
        <v>6086</v>
      </c>
      <c r="N10" s="190">
        <f t="shared" si="1"/>
        <v>458</v>
      </c>
      <c r="O10" s="190">
        <f t="shared" si="1"/>
        <v>675</v>
      </c>
      <c r="P10" s="190">
        <f t="shared" si="1"/>
        <v>90</v>
      </c>
      <c r="Q10" s="190">
        <f t="shared" si="1"/>
        <v>4863</v>
      </c>
      <c r="R10" s="7" t="s">
        <v>41</v>
      </c>
      <c r="S10" s="251">
        <f t="shared" si="2"/>
        <v>650.24999999999989</v>
      </c>
      <c r="T10" s="64">
        <f t="shared" si="2"/>
        <v>22080</v>
      </c>
      <c r="U10" s="64">
        <f t="shared" si="2"/>
        <v>19979</v>
      </c>
      <c r="V10" s="64">
        <f t="shared" si="2"/>
        <v>2198</v>
      </c>
      <c r="W10" s="64">
        <f t="shared" si="2"/>
        <v>1390</v>
      </c>
      <c r="X10" s="64">
        <f t="shared" si="2"/>
        <v>122</v>
      </c>
      <c r="Y10" s="64">
        <f t="shared" si="2"/>
        <v>16269</v>
      </c>
      <c r="Z10" s="252"/>
      <c r="AA10" s="65" t="s">
        <v>41</v>
      </c>
      <c r="AB10" s="189">
        <f>AB14+AB21</f>
        <v>0</v>
      </c>
      <c r="AC10" s="190">
        <f t="shared" si="3"/>
        <v>0</v>
      </c>
      <c r="AD10" s="190">
        <f t="shared" si="3"/>
        <v>0</v>
      </c>
      <c r="AE10" s="190">
        <f t="shared" si="3"/>
        <v>0</v>
      </c>
      <c r="AF10" s="190">
        <f t="shared" si="3"/>
        <v>0</v>
      </c>
      <c r="AG10" s="190">
        <f t="shared" si="3"/>
        <v>0</v>
      </c>
      <c r="AH10" s="190">
        <f t="shared" si="3"/>
        <v>0</v>
      </c>
      <c r="AJ10" s="7" t="s">
        <v>41</v>
      </c>
      <c r="AK10" s="251">
        <f>AK14+AK21</f>
        <v>0</v>
      </c>
      <c r="AL10" s="190">
        <f t="shared" si="4"/>
        <v>0</v>
      </c>
      <c r="AM10" s="190">
        <f t="shared" si="4"/>
        <v>0</v>
      </c>
      <c r="AN10" s="190">
        <f t="shared" si="4"/>
        <v>0</v>
      </c>
      <c r="AO10" s="190">
        <f t="shared" si="4"/>
        <v>0</v>
      </c>
      <c r="AP10" s="190">
        <f t="shared" si="4"/>
        <v>0</v>
      </c>
      <c r="AQ10" s="190">
        <f t="shared" si="4"/>
        <v>0</v>
      </c>
    </row>
    <row r="11" spans="1:44" s="115" customFormat="1">
      <c r="A11" s="33" t="s">
        <v>20</v>
      </c>
      <c r="B11" s="190">
        <f t="shared" ref="B11:H11" si="5">B10/B9*100</f>
        <v>127.90290990486845</v>
      </c>
      <c r="C11" s="190">
        <f t="shared" si="5"/>
        <v>91.866725787039968</v>
      </c>
      <c r="D11" s="190">
        <f t="shared" si="5"/>
        <v>94.954462659380695</v>
      </c>
      <c r="E11" s="190">
        <f t="shared" si="5"/>
        <v>202.59344012204426</v>
      </c>
      <c r="F11" s="190">
        <f t="shared" si="5"/>
        <v>31.921471633946513</v>
      </c>
      <c r="G11" s="190">
        <f t="shared" si="5"/>
        <v>21.544715447154474</v>
      </c>
      <c r="H11" s="190">
        <f t="shared" si="5"/>
        <v>113.09001391416034</v>
      </c>
      <c r="I11" s="309"/>
      <c r="J11" s="33" t="s">
        <v>20</v>
      </c>
      <c r="K11" s="190">
        <f t="shared" ref="K11:Q11" si="6">K10/K9*100</f>
        <v>101.38248847926268</v>
      </c>
      <c r="L11" s="190">
        <f t="shared" si="6"/>
        <v>105.90214067278288</v>
      </c>
      <c r="M11" s="190">
        <f t="shared" si="6"/>
        <v>112.45380635624538</v>
      </c>
      <c r="N11" s="190">
        <f t="shared" si="6"/>
        <v>205.38116591928252</v>
      </c>
      <c r="O11" s="190">
        <f t="shared" si="6"/>
        <v>37.169603524229075</v>
      </c>
      <c r="P11" s="190">
        <f t="shared" si="6"/>
        <v>28.391167192429023</v>
      </c>
      <c r="Q11" s="190">
        <f t="shared" si="6"/>
        <v>159.12958115183247</v>
      </c>
      <c r="R11" s="33" t="s">
        <v>20</v>
      </c>
      <c r="S11" s="190">
        <f t="shared" ref="S11:Y11" si="7">S10/S9*100</f>
        <v>150.24260628465802</v>
      </c>
      <c r="T11" s="190">
        <f t="shared" si="7"/>
        <v>92.738040236885212</v>
      </c>
      <c r="U11" s="190">
        <f t="shared" si="7"/>
        <v>94.948198840414406</v>
      </c>
      <c r="V11" s="190">
        <f t="shared" si="7"/>
        <v>206.19136960600378</v>
      </c>
      <c r="W11" s="190">
        <f t="shared" si="7"/>
        <v>30.868310015545191</v>
      </c>
      <c r="X11" s="190">
        <f t="shared" si="7"/>
        <v>19.488817891373802</v>
      </c>
      <c r="Y11" s="190">
        <f t="shared" si="7"/>
        <v>109.57769246312385</v>
      </c>
      <c r="Z11" s="253"/>
      <c r="AA11" s="63" t="s">
        <v>20</v>
      </c>
      <c r="AB11" s="190">
        <f t="shared" ref="AB11:AH11" si="8">AB10/AB9*100</f>
        <v>0</v>
      </c>
      <c r="AC11" s="190">
        <f t="shared" si="8"/>
        <v>0</v>
      </c>
      <c r="AD11" s="190">
        <f t="shared" si="8"/>
        <v>0</v>
      </c>
      <c r="AE11" s="190">
        <f t="shared" si="8"/>
        <v>0</v>
      </c>
      <c r="AF11" s="190">
        <f t="shared" si="8"/>
        <v>0</v>
      </c>
      <c r="AG11" s="190">
        <f t="shared" si="8"/>
        <v>0</v>
      </c>
      <c r="AH11" s="190">
        <f t="shared" si="8"/>
        <v>0</v>
      </c>
      <c r="AI11" s="309"/>
      <c r="AJ11" s="33" t="s">
        <v>20</v>
      </c>
      <c r="AK11" s="190">
        <f t="shared" ref="AK11:AQ11" si="9">AK10/AK9*100</f>
        <v>0</v>
      </c>
      <c r="AL11" s="190">
        <f t="shared" si="9"/>
        <v>0</v>
      </c>
      <c r="AM11" s="190">
        <f t="shared" si="9"/>
        <v>0</v>
      </c>
      <c r="AN11" s="190">
        <f t="shared" si="9"/>
        <v>0</v>
      </c>
      <c r="AO11" s="190">
        <f t="shared" si="9"/>
        <v>0</v>
      </c>
      <c r="AP11" s="190">
        <f t="shared" si="9"/>
        <v>0</v>
      </c>
      <c r="AQ11" s="190">
        <f t="shared" si="9"/>
        <v>0</v>
      </c>
    </row>
    <row r="12" spans="1:44">
      <c r="A12" s="6" t="s">
        <v>11</v>
      </c>
      <c r="B12" s="229"/>
      <c r="C12" s="229"/>
      <c r="D12" s="229"/>
      <c r="E12" s="229"/>
      <c r="F12" s="229"/>
      <c r="G12" s="229"/>
      <c r="H12" s="229"/>
      <c r="J12" s="6" t="s">
        <v>11</v>
      </c>
      <c r="K12" s="229"/>
      <c r="L12" s="229"/>
      <c r="M12" s="229">
        <f>N12+O12+P12+Q12</f>
        <v>0</v>
      </c>
      <c r="N12" s="229"/>
      <c r="O12" s="229"/>
      <c r="P12" s="229"/>
      <c r="Q12" s="229"/>
      <c r="R12" s="6" t="s">
        <v>11</v>
      </c>
      <c r="S12" s="229"/>
      <c r="T12" s="229"/>
      <c r="U12" s="229"/>
      <c r="V12" s="229"/>
      <c r="W12" s="229"/>
      <c r="X12" s="229"/>
      <c r="Y12" s="229"/>
      <c r="Z12" s="67"/>
      <c r="AA12" s="68" t="s">
        <v>11</v>
      </c>
      <c r="AB12" s="229"/>
      <c r="AC12" s="229"/>
      <c r="AD12" s="64"/>
      <c r="AE12" s="229"/>
      <c r="AF12" s="229"/>
      <c r="AG12" s="229"/>
      <c r="AH12" s="229"/>
      <c r="AJ12" s="6" t="s">
        <v>11</v>
      </c>
      <c r="AK12" s="229"/>
      <c r="AL12" s="229"/>
      <c r="AM12" s="229"/>
      <c r="AN12" s="229"/>
      <c r="AO12" s="229"/>
      <c r="AP12" s="229"/>
      <c r="AQ12" s="229"/>
    </row>
    <row r="13" spans="1:44" s="216" customFormat="1">
      <c r="A13" s="118" t="s">
        <v>40</v>
      </c>
      <c r="B13" s="119">
        <f>+K13+S13+AK13</f>
        <v>19.3</v>
      </c>
      <c r="C13" s="119">
        <f>+L13+T13+AL13</f>
        <v>1335</v>
      </c>
      <c r="D13" s="119">
        <f>E13+F13+G13+H13</f>
        <v>975</v>
      </c>
      <c r="E13" s="119">
        <f t="shared" ref="E13:H14" si="10">+N13+V13+AN13</f>
        <v>183</v>
      </c>
      <c r="F13" s="119">
        <f t="shared" si="10"/>
        <v>403</v>
      </c>
      <c r="G13" s="119">
        <f t="shared" si="10"/>
        <v>72</v>
      </c>
      <c r="H13" s="119">
        <f t="shared" si="10"/>
        <v>317</v>
      </c>
      <c r="J13" s="118" t="s">
        <v>40</v>
      </c>
      <c r="K13" s="119">
        <v>14.4</v>
      </c>
      <c r="L13" s="119">
        <v>894</v>
      </c>
      <c r="M13" s="119">
        <f>N13+O13+P13+Q13</f>
        <v>647</v>
      </c>
      <c r="N13" s="119">
        <v>38</v>
      </c>
      <c r="O13" s="119">
        <v>368</v>
      </c>
      <c r="P13" s="119">
        <v>63</v>
      </c>
      <c r="Q13" s="119">
        <v>178</v>
      </c>
      <c r="R13" s="118" t="s">
        <v>40</v>
      </c>
      <c r="S13" s="119">
        <v>2.8</v>
      </c>
      <c r="T13" s="119">
        <v>243</v>
      </c>
      <c r="U13" s="119">
        <f>V13+W13+X13+Y13</f>
        <v>199</v>
      </c>
      <c r="V13" s="119">
        <v>136</v>
      </c>
      <c r="W13" s="119">
        <v>10</v>
      </c>
      <c r="X13" s="119">
        <v>3</v>
      </c>
      <c r="Y13" s="119">
        <v>50</v>
      </c>
      <c r="Z13" s="254"/>
      <c r="AA13" s="120" t="s">
        <v>40</v>
      </c>
      <c r="AB13" s="119">
        <v>2.6</v>
      </c>
      <c r="AC13" s="119">
        <v>237</v>
      </c>
      <c r="AD13" s="119">
        <f>AE13+AF13+AG13+AH13</f>
        <v>194</v>
      </c>
      <c r="AE13" s="119">
        <v>133</v>
      </c>
      <c r="AF13" s="119">
        <v>10</v>
      </c>
      <c r="AG13" s="119">
        <v>3</v>
      </c>
      <c r="AH13" s="119">
        <v>48</v>
      </c>
      <c r="AJ13" s="118" t="s">
        <v>40</v>
      </c>
      <c r="AK13" s="119">
        <v>2.1</v>
      </c>
      <c r="AL13" s="119">
        <v>198</v>
      </c>
      <c r="AM13" s="119">
        <f>AN13+AO13+AP13+AQ13</f>
        <v>129</v>
      </c>
      <c r="AN13" s="119">
        <v>9</v>
      </c>
      <c r="AO13" s="119">
        <v>25</v>
      </c>
      <c r="AP13" s="119">
        <v>6</v>
      </c>
      <c r="AQ13" s="119">
        <v>89</v>
      </c>
    </row>
    <row r="14" spans="1:44">
      <c r="A14" s="69" t="s">
        <v>41</v>
      </c>
      <c r="B14" s="189">
        <f>+K14+S14+AK14</f>
        <v>14</v>
      </c>
      <c r="C14" s="64">
        <f>+L14+T14+AL14</f>
        <v>929</v>
      </c>
      <c r="D14" s="64">
        <f>E14+F14+G14+H14</f>
        <v>762</v>
      </c>
      <c r="E14" s="64">
        <f t="shared" si="10"/>
        <v>49</v>
      </c>
      <c r="F14" s="64">
        <f t="shared" si="10"/>
        <v>38</v>
      </c>
      <c r="G14" s="64">
        <f t="shared" si="10"/>
        <v>0</v>
      </c>
      <c r="H14" s="64">
        <f t="shared" si="10"/>
        <v>675</v>
      </c>
      <c r="J14" s="69" t="s">
        <v>41</v>
      </c>
      <c r="K14" s="189">
        <v>14</v>
      </c>
      <c r="L14" s="64">
        <v>928</v>
      </c>
      <c r="M14" s="64">
        <f>N14+O14+P14+Q14</f>
        <v>761</v>
      </c>
      <c r="N14" s="64">
        <v>48</v>
      </c>
      <c r="O14" s="64">
        <v>38</v>
      </c>
      <c r="P14" s="64">
        <v>0</v>
      </c>
      <c r="Q14" s="64">
        <v>675</v>
      </c>
      <c r="R14" s="69" t="s">
        <v>41</v>
      </c>
      <c r="S14" s="229"/>
      <c r="T14" s="229">
        <v>1</v>
      </c>
      <c r="U14" s="229">
        <f>V14+W14+X14+Y14</f>
        <v>1</v>
      </c>
      <c r="V14" s="229">
        <v>1</v>
      </c>
      <c r="W14" s="229"/>
      <c r="X14" s="229"/>
      <c r="Y14" s="229"/>
      <c r="Z14" s="67"/>
      <c r="AA14" s="70" t="s">
        <v>41</v>
      </c>
      <c r="AB14" s="229"/>
      <c r="AC14" s="229"/>
      <c r="AD14" s="229">
        <f>AE14+AF14+AG14+AH14</f>
        <v>0</v>
      </c>
      <c r="AE14" s="229"/>
      <c r="AF14" s="229"/>
      <c r="AG14" s="229"/>
      <c r="AH14" s="229"/>
      <c r="AJ14" s="69" t="s">
        <v>41</v>
      </c>
      <c r="AK14" s="251"/>
      <c r="AL14" s="64"/>
      <c r="AM14" s="64">
        <f>AN14+AO14+AP14+AQ14</f>
        <v>0</v>
      </c>
      <c r="AN14" s="64"/>
      <c r="AO14" s="64"/>
      <c r="AP14" s="64"/>
      <c r="AQ14" s="64"/>
    </row>
    <row r="15" spans="1:44">
      <c r="A15" s="6" t="s">
        <v>20</v>
      </c>
      <c r="B15" s="51">
        <f t="shared" ref="B15:H15" si="11">B14/B13*100</f>
        <v>72.538860103626945</v>
      </c>
      <c r="C15" s="51">
        <f t="shared" si="11"/>
        <v>69.588014981273403</v>
      </c>
      <c r="D15" s="51">
        <f t="shared" si="11"/>
        <v>78.153846153846146</v>
      </c>
      <c r="E15" s="51">
        <f t="shared" si="11"/>
        <v>26.775956284153008</v>
      </c>
      <c r="F15" s="51">
        <f t="shared" si="11"/>
        <v>9.4292803970223318</v>
      </c>
      <c r="G15" s="51">
        <f t="shared" si="11"/>
        <v>0</v>
      </c>
      <c r="H15" s="51">
        <f t="shared" si="11"/>
        <v>212.93375394321768</v>
      </c>
      <c r="I15" s="21"/>
      <c r="J15" s="6" t="s">
        <v>20</v>
      </c>
      <c r="K15" s="122">
        <f t="shared" ref="K15:Q15" si="12">K14/K13*100</f>
        <v>97.222222222222214</v>
      </c>
      <c r="L15" s="51">
        <f t="shared" si="12"/>
        <v>103.80313199105144</v>
      </c>
      <c r="M15" s="51">
        <f t="shared" si="12"/>
        <v>117.61978361669243</v>
      </c>
      <c r="N15" s="51">
        <f t="shared" si="12"/>
        <v>126.31578947368421</v>
      </c>
      <c r="O15" s="51">
        <f t="shared" si="12"/>
        <v>10.326086956521738</v>
      </c>
      <c r="P15" s="51">
        <f t="shared" si="12"/>
        <v>0</v>
      </c>
      <c r="Q15" s="51">
        <f t="shared" si="12"/>
        <v>379.2134831460674</v>
      </c>
      <c r="R15" s="6" t="s">
        <v>20</v>
      </c>
      <c r="S15" s="51">
        <f t="shared" ref="S15:Y15" si="13">S14/S13*100</f>
        <v>0</v>
      </c>
      <c r="T15" s="51">
        <f t="shared" si="13"/>
        <v>0.41152263374485598</v>
      </c>
      <c r="U15" s="51">
        <f t="shared" si="13"/>
        <v>0.50251256281407031</v>
      </c>
      <c r="V15" s="51">
        <f t="shared" si="13"/>
        <v>0.73529411764705876</v>
      </c>
      <c r="W15" s="51">
        <f t="shared" si="13"/>
        <v>0</v>
      </c>
      <c r="X15" s="51">
        <f t="shared" si="13"/>
        <v>0</v>
      </c>
      <c r="Y15" s="51">
        <f t="shared" si="13"/>
        <v>0</v>
      </c>
      <c r="Z15" s="67"/>
      <c r="AA15" s="68" t="s">
        <v>20</v>
      </c>
      <c r="AB15" s="122">
        <f t="shared" ref="AB15:AH15" si="14">AB14/AB13*100</f>
        <v>0</v>
      </c>
      <c r="AC15" s="122">
        <f t="shared" si="14"/>
        <v>0</v>
      </c>
      <c r="AD15" s="122">
        <f t="shared" si="14"/>
        <v>0</v>
      </c>
      <c r="AE15" s="122">
        <f t="shared" si="14"/>
        <v>0</v>
      </c>
      <c r="AF15" s="122">
        <f t="shared" si="14"/>
        <v>0</v>
      </c>
      <c r="AG15" s="122">
        <f t="shared" si="14"/>
        <v>0</v>
      </c>
      <c r="AH15" s="122">
        <f t="shared" si="14"/>
        <v>0</v>
      </c>
      <c r="AJ15" s="6" t="s">
        <v>20</v>
      </c>
      <c r="AK15" s="224">
        <f t="shared" ref="AK15:AQ15" si="15">AK14/AK13*100</f>
        <v>0</v>
      </c>
      <c r="AL15" s="224">
        <f t="shared" si="15"/>
        <v>0</v>
      </c>
      <c r="AM15" s="224">
        <f t="shared" si="15"/>
        <v>0</v>
      </c>
      <c r="AN15" s="224">
        <f t="shared" si="15"/>
        <v>0</v>
      </c>
      <c r="AO15" s="224">
        <f t="shared" si="15"/>
        <v>0</v>
      </c>
      <c r="AP15" s="224">
        <f t="shared" si="15"/>
        <v>0</v>
      </c>
      <c r="AQ15" s="224">
        <f t="shared" si="15"/>
        <v>0</v>
      </c>
    </row>
    <row r="16" spans="1:44">
      <c r="A16" s="6" t="s">
        <v>13</v>
      </c>
      <c r="B16" s="122">
        <f t="shared" ref="B16:C18" si="16">+K16+S16+AK16</f>
        <v>2.65</v>
      </c>
      <c r="C16" s="229">
        <f t="shared" si="16"/>
        <v>98</v>
      </c>
      <c r="D16" s="229">
        <f>E16+F16+G16+H16</f>
        <v>88</v>
      </c>
      <c r="E16" s="229">
        <f t="shared" ref="E16:H18" si="17">+N16+V16+AN16</f>
        <v>0</v>
      </c>
      <c r="F16" s="229">
        <f t="shared" si="17"/>
        <v>4</v>
      </c>
      <c r="G16" s="229">
        <f t="shared" si="17"/>
        <v>0</v>
      </c>
      <c r="H16" s="229">
        <f t="shared" si="17"/>
        <v>84</v>
      </c>
      <c r="J16" s="6" t="s">
        <v>13</v>
      </c>
      <c r="K16" s="229">
        <v>2.65</v>
      </c>
      <c r="L16" s="229">
        <v>98</v>
      </c>
      <c r="M16" s="229">
        <f>N16+O16+P16+Q16</f>
        <v>88</v>
      </c>
      <c r="N16" s="229">
        <v>0</v>
      </c>
      <c r="O16" s="229">
        <v>4</v>
      </c>
      <c r="P16" s="229">
        <v>0</v>
      </c>
      <c r="Q16" s="229">
        <v>84</v>
      </c>
      <c r="R16" s="6" t="s">
        <v>13</v>
      </c>
      <c r="S16" s="229"/>
      <c r="T16" s="229"/>
      <c r="U16" s="229">
        <f>V16+W16+X16+Y16</f>
        <v>0</v>
      </c>
      <c r="V16" s="229"/>
      <c r="W16" s="229"/>
      <c r="X16" s="229"/>
      <c r="Y16" s="229"/>
      <c r="Z16" s="67"/>
      <c r="AA16" s="68" t="s">
        <v>13</v>
      </c>
      <c r="AB16" s="229"/>
      <c r="AC16" s="229"/>
      <c r="AD16" s="229">
        <f>AE16+AF16+AG16+AH16</f>
        <v>0</v>
      </c>
      <c r="AE16" s="229"/>
      <c r="AF16" s="229"/>
      <c r="AG16" s="229"/>
      <c r="AH16" s="229"/>
      <c r="AJ16" s="6" t="s">
        <v>13</v>
      </c>
      <c r="AK16" s="122"/>
      <c r="AL16" s="229"/>
      <c r="AM16" s="64">
        <f>AN16+AO16+AP16+AQ16</f>
        <v>0</v>
      </c>
      <c r="AN16" s="229">
        <v>0</v>
      </c>
      <c r="AO16" s="229">
        <v>0</v>
      </c>
      <c r="AP16" s="229">
        <v>0</v>
      </c>
      <c r="AQ16" s="229"/>
    </row>
    <row r="17" spans="1:43">
      <c r="A17" s="6" t="s">
        <v>14</v>
      </c>
      <c r="B17" s="229">
        <f t="shared" si="16"/>
        <v>0</v>
      </c>
      <c r="C17" s="229">
        <f t="shared" si="16"/>
        <v>0</v>
      </c>
      <c r="D17" s="229">
        <f>E17+F17+G17+H17</f>
        <v>0</v>
      </c>
      <c r="E17" s="229">
        <f t="shared" si="17"/>
        <v>0</v>
      </c>
      <c r="F17" s="229">
        <f t="shared" si="17"/>
        <v>0</v>
      </c>
      <c r="G17" s="229">
        <f t="shared" si="17"/>
        <v>0</v>
      </c>
      <c r="H17" s="229">
        <f t="shared" si="17"/>
        <v>0</v>
      </c>
      <c r="J17" s="6" t="s">
        <v>14</v>
      </c>
      <c r="K17" s="229"/>
      <c r="L17" s="229"/>
      <c r="M17" s="229">
        <f>N17+O17+P17+Q17</f>
        <v>0</v>
      </c>
      <c r="N17" s="229"/>
      <c r="O17" s="229"/>
      <c r="P17" s="229"/>
      <c r="Q17" s="229"/>
      <c r="R17" s="6" t="s">
        <v>14</v>
      </c>
      <c r="S17" s="229"/>
      <c r="T17" s="229"/>
      <c r="U17" s="229"/>
      <c r="V17" s="229"/>
      <c r="W17" s="229"/>
      <c r="X17" s="229"/>
      <c r="Y17" s="229"/>
      <c r="Z17" s="67"/>
      <c r="AA17" s="68" t="s">
        <v>14</v>
      </c>
      <c r="AB17" s="229"/>
      <c r="AC17" s="229"/>
      <c r="AD17" s="229"/>
      <c r="AE17" s="229"/>
      <c r="AF17" s="229"/>
      <c r="AG17" s="229"/>
      <c r="AH17" s="229"/>
      <c r="AJ17" s="6" t="s">
        <v>14</v>
      </c>
      <c r="AK17" s="229"/>
      <c r="AL17" s="229"/>
      <c r="AM17" s="229"/>
      <c r="AN17" s="229"/>
      <c r="AO17" s="229"/>
      <c r="AP17" s="229"/>
      <c r="AQ17" s="229"/>
    </row>
    <row r="18" spans="1:43">
      <c r="A18" s="6" t="s">
        <v>15</v>
      </c>
      <c r="B18" s="229">
        <f t="shared" si="16"/>
        <v>0</v>
      </c>
      <c r="C18" s="229">
        <f t="shared" si="16"/>
        <v>0</v>
      </c>
      <c r="D18" s="229">
        <f>E18+F18+G18+H18</f>
        <v>0</v>
      </c>
      <c r="E18" s="229">
        <f t="shared" si="17"/>
        <v>0</v>
      </c>
      <c r="F18" s="229">
        <f t="shared" si="17"/>
        <v>0</v>
      </c>
      <c r="G18" s="229">
        <f t="shared" si="17"/>
        <v>0</v>
      </c>
      <c r="H18" s="229">
        <f t="shared" si="17"/>
        <v>0</v>
      </c>
      <c r="J18" s="6" t="s">
        <v>15</v>
      </c>
      <c r="K18" s="229"/>
      <c r="L18" s="229"/>
      <c r="M18" s="229">
        <f>N18+O18+P18+Q18</f>
        <v>0</v>
      </c>
      <c r="N18" s="229"/>
      <c r="O18" s="229"/>
      <c r="P18" s="229">
        <v>0</v>
      </c>
      <c r="Q18" s="229"/>
      <c r="R18" s="6" t="s">
        <v>15</v>
      </c>
      <c r="S18" s="229"/>
      <c r="T18" s="229"/>
      <c r="U18" s="229"/>
      <c r="V18" s="229"/>
      <c r="W18" s="229"/>
      <c r="X18" s="229"/>
      <c r="Y18" s="229"/>
      <c r="Z18" s="67"/>
      <c r="AA18" s="68" t="s">
        <v>15</v>
      </c>
      <c r="AB18" s="229"/>
      <c r="AC18" s="229"/>
      <c r="AD18" s="229"/>
      <c r="AE18" s="229"/>
      <c r="AF18" s="229"/>
      <c r="AG18" s="229"/>
      <c r="AH18" s="229"/>
      <c r="AJ18" s="6" t="s">
        <v>15</v>
      </c>
      <c r="AK18" s="229"/>
      <c r="AL18" s="229"/>
      <c r="AM18" s="229">
        <f>AN18+AO18+AP18+AQ18</f>
        <v>0</v>
      </c>
      <c r="AN18" s="229"/>
      <c r="AO18" s="229"/>
      <c r="AP18" s="229"/>
      <c r="AQ18" s="229"/>
    </row>
    <row r="19" spans="1:43">
      <c r="A19" s="6" t="s">
        <v>43</v>
      </c>
      <c r="B19" s="229"/>
      <c r="C19" s="229"/>
      <c r="D19" s="229">
        <f>E19+F19+G19+H19</f>
        <v>0</v>
      </c>
      <c r="E19" s="229"/>
      <c r="F19" s="229"/>
      <c r="G19" s="229"/>
      <c r="H19" s="229"/>
      <c r="J19" s="6" t="s">
        <v>43</v>
      </c>
      <c r="K19" s="229"/>
      <c r="L19" s="229"/>
      <c r="M19" s="229">
        <f>N19+O19+P19+Q19</f>
        <v>0</v>
      </c>
      <c r="N19" s="229"/>
      <c r="O19" s="229"/>
      <c r="P19" s="229"/>
      <c r="Q19" s="229"/>
      <c r="R19" s="6" t="s">
        <v>43</v>
      </c>
      <c r="S19" s="229"/>
      <c r="T19" s="229"/>
      <c r="U19" s="229"/>
      <c r="V19" s="229"/>
      <c r="W19" s="229"/>
      <c r="X19" s="229"/>
      <c r="Y19" s="229"/>
      <c r="Z19" s="67"/>
      <c r="AA19" s="68" t="s">
        <v>43</v>
      </c>
      <c r="AB19" s="229"/>
      <c r="AC19" s="229"/>
      <c r="AD19" s="229"/>
      <c r="AE19" s="229"/>
      <c r="AF19" s="229"/>
      <c r="AG19" s="229"/>
      <c r="AH19" s="229"/>
      <c r="AJ19" s="6" t="s">
        <v>43</v>
      </c>
      <c r="AK19" s="229"/>
      <c r="AL19" s="229"/>
      <c r="AM19" s="229"/>
      <c r="AN19" s="229"/>
      <c r="AO19" s="229"/>
      <c r="AP19" s="229"/>
      <c r="AQ19" s="229"/>
    </row>
    <row r="20" spans="1:43" s="216" customFormat="1">
      <c r="A20" s="118" t="s">
        <v>40</v>
      </c>
      <c r="B20" s="119">
        <f>+K20+S20+AK20</f>
        <v>695.5</v>
      </c>
      <c r="C20" s="119">
        <f>+L20+T20+AL20</f>
        <v>30239</v>
      </c>
      <c r="D20" s="119">
        <f>D23+D26+D29+D32+D35+D38</f>
        <v>26475</v>
      </c>
      <c r="E20" s="119">
        <f t="shared" ref="E20:H21" si="18">+N20+V20+AN20</f>
        <v>1128</v>
      </c>
      <c r="F20" s="119">
        <f t="shared" si="18"/>
        <v>6066</v>
      </c>
      <c r="G20" s="119">
        <f t="shared" si="18"/>
        <v>912</v>
      </c>
      <c r="H20" s="119">
        <f t="shared" si="18"/>
        <v>18369</v>
      </c>
      <c r="J20" s="118" t="s">
        <v>40</v>
      </c>
      <c r="K20" s="119">
        <f t="shared" ref="K20:Q20" si="19">K23+K26+K29+K32+K35+K38</f>
        <v>246</v>
      </c>
      <c r="L20" s="119">
        <f t="shared" si="19"/>
        <v>5646</v>
      </c>
      <c r="M20" s="119">
        <f t="shared" si="19"/>
        <v>4765</v>
      </c>
      <c r="N20" s="119">
        <f t="shared" si="19"/>
        <v>185</v>
      </c>
      <c r="O20" s="119">
        <f t="shared" si="19"/>
        <v>1448</v>
      </c>
      <c r="P20" s="119">
        <f t="shared" si="19"/>
        <v>254</v>
      </c>
      <c r="Q20" s="119">
        <f t="shared" si="19"/>
        <v>2878</v>
      </c>
      <c r="R20" s="118" t="s">
        <v>40</v>
      </c>
      <c r="S20" s="119">
        <f t="shared" ref="S20:Y21" si="20">S23+S26+S29+S32+S35+S38</f>
        <v>430</v>
      </c>
      <c r="T20" s="119">
        <f t="shared" si="20"/>
        <v>23566</v>
      </c>
      <c r="U20" s="119">
        <f t="shared" si="20"/>
        <v>20843</v>
      </c>
      <c r="V20" s="119">
        <f t="shared" si="20"/>
        <v>930</v>
      </c>
      <c r="W20" s="119">
        <f t="shared" si="20"/>
        <v>4493</v>
      </c>
      <c r="X20" s="119">
        <f t="shared" si="20"/>
        <v>623</v>
      </c>
      <c r="Y20" s="119">
        <f t="shared" si="20"/>
        <v>14797</v>
      </c>
      <c r="Z20" s="254"/>
      <c r="AA20" s="120" t="s">
        <v>40</v>
      </c>
      <c r="AB20" s="119">
        <f t="shared" ref="AB20:AH21" si="21">AB23+AB26+AB29+AB32+AB35+AB38</f>
        <v>12.6</v>
      </c>
      <c r="AC20" s="119">
        <f t="shared" si="21"/>
        <v>781</v>
      </c>
      <c r="AD20" s="119">
        <f t="shared" si="21"/>
        <v>667</v>
      </c>
      <c r="AE20" s="119">
        <f t="shared" si="21"/>
        <v>175</v>
      </c>
      <c r="AF20" s="119">
        <f t="shared" si="21"/>
        <v>129</v>
      </c>
      <c r="AG20" s="119">
        <f t="shared" si="21"/>
        <v>20</v>
      </c>
      <c r="AH20" s="119">
        <f t="shared" si="21"/>
        <v>343</v>
      </c>
      <c r="AJ20" s="118" t="s">
        <v>40</v>
      </c>
      <c r="AK20" s="119">
        <f t="shared" ref="AK20:AQ21" si="22">AK23+AK26+AK29+AK32+AK35+AK38</f>
        <v>19.5</v>
      </c>
      <c r="AL20" s="119">
        <f t="shared" si="22"/>
        <v>1027</v>
      </c>
      <c r="AM20" s="119">
        <f t="shared" si="22"/>
        <v>867</v>
      </c>
      <c r="AN20" s="119">
        <f t="shared" si="22"/>
        <v>13</v>
      </c>
      <c r="AO20" s="119">
        <f t="shared" si="22"/>
        <v>125</v>
      </c>
      <c r="AP20" s="119">
        <f t="shared" si="22"/>
        <v>35</v>
      </c>
      <c r="AQ20" s="119">
        <f t="shared" si="22"/>
        <v>694</v>
      </c>
    </row>
    <row r="21" spans="1:43">
      <c r="A21" s="18" t="s">
        <v>41</v>
      </c>
      <c r="B21" s="189">
        <f>+K21+S21+AK21</f>
        <v>900.24999999999989</v>
      </c>
      <c r="C21" s="190">
        <f>+L21+T21+AL21</f>
        <v>28077</v>
      </c>
      <c r="D21" s="64">
        <f>E21+F21+G21+H21</f>
        <v>25303</v>
      </c>
      <c r="E21" s="64">
        <f t="shared" si="18"/>
        <v>2607</v>
      </c>
      <c r="F21" s="64">
        <f t="shared" si="18"/>
        <v>2027</v>
      </c>
      <c r="G21" s="64">
        <f t="shared" si="18"/>
        <v>212</v>
      </c>
      <c r="H21" s="64">
        <f t="shared" si="18"/>
        <v>20457</v>
      </c>
      <c r="J21" s="18" t="s">
        <v>41</v>
      </c>
      <c r="K21" s="189">
        <f>K27+K30+K33+K36+K39</f>
        <v>250</v>
      </c>
      <c r="L21" s="190">
        <f t="shared" ref="L21:Q21" si="23">L27+L30+L33+L36+L39</f>
        <v>5998</v>
      </c>
      <c r="M21" s="190">
        <f t="shared" si="23"/>
        <v>5325</v>
      </c>
      <c r="N21" s="190">
        <f t="shared" si="23"/>
        <v>410</v>
      </c>
      <c r="O21" s="190">
        <f t="shared" si="23"/>
        <v>637</v>
      </c>
      <c r="P21" s="190">
        <f t="shared" si="23"/>
        <v>90</v>
      </c>
      <c r="Q21" s="190">
        <f t="shared" si="23"/>
        <v>4188</v>
      </c>
      <c r="R21" s="18" t="s">
        <v>41</v>
      </c>
      <c r="S21" s="251">
        <f>S24+S27+S30+S33+S36+S39</f>
        <v>650.24999999999989</v>
      </c>
      <c r="T21" s="64">
        <f>T24+T27+T30+T33+T36+T39</f>
        <v>22079</v>
      </c>
      <c r="U21" s="64">
        <f>U24+U27+U30+U33+U36+U39</f>
        <v>19978</v>
      </c>
      <c r="V21" s="64">
        <f t="shared" si="20"/>
        <v>2197</v>
      </c>
      <c r="W21" s="64">
        <f t="shared" si="20"/>
        <v>1390</v>
      </c>
      <c r="X21" s="64">
        <f t="shared" si="20"/>
        <v>122</v>
      </c>
      <c r="Y21" s="64">
        <f t="shared" si="20"/>
        <v>16269</v>
      </c>
      <c r="Z21" s="67"/>
      <c r="AA21" s="71" t="s">
        <v>41</v>
      </c>
      <c r="AB21" s="189">
        <f>AB24+AB27+AB30+AB33+AB36+AB39</f>
        <v>0</v>
      </c>
      <c r="AC21" s="190">
        <f t="shared" si="21"/>
        <v>0</v>
      </c>
      <c r="AD21" s="190">
        <f t="shared" si="21"/>
        <v>0</v>
      </c>
      <c r="AE21" s="190">
        <f t="shared" si="21"/>
        <v>0</v>
      </c>
      <c r="AF21" s="190">
        <f t="shared" si="21"/>
        <v>0</v>
      </c>
      <c r="AG21" s="190">
        <f t="shared" si="21"/>
        <v>0</v>
      </c>
      <c r="AH21" s="190">
        <f t="shared" si="21"/>
        <v>0</v>
      </c>
      <c r="AJ21" s="18" t="s">
        <v>41</v>
      </c>
      <c r="AK21" s="189">
        <f>AK24+AK27+AK30+AK33+AK36+AK39</f>
        <v>0</v>
      </c>
      <c r="AL21" s="190">
        <f t="shared" si="22"/>
        <v>0</v>
      </c>
      <c r="AM21" s="190">
        <f t="shared" si="22"/>
        <v>0</v>
      </c>
      <c r="AN21" s="190">
        <f t="shared" si="22"/>
        <v>0</v>
      </c>
      <c r="AO21" s="190">
        <f t="shared" si="22"/>
        <v>0</v>
      </c>
      <c r="AP21" s="190">
        <f t="shared" si="22"/>
        <v>0</v>
      </c>
      <c r="AQ21" s="190">
        <f t="shared" si="22"/>
        <v>0</v>
      </c>
    </row>
    <row r="22" spans="1:43">
      <c r="A22" s="6" t="s">
        <v>20</v>
      </c>
      <c r="B22" s="51">
        <f t="shared" ref="B22:H22" si="24">B21/B20*100</f>
        <v>129.43925233644856</v>
      </c>
      <c r="C22" s="51">
        <f t="shared" si="24"/>
        <v>92.850292668408358</v>
      </c>
      <c r="D22" s="51">
        <f t="shared" si="24"/>
        <v>95.57318224740321</v>
      </c>
      <c r="E22" s="51">
        <f t="shared" si="24"/>
        <v>231.11702127659575</v>
      </c>
      <c r="F22" s="51">
        <f t="shared" si="24"/>
        <v>33.41575997362348</v>
      </c>
      <c r="G22" s="51">
        <f t="shared" si="24"/>
        <v>23.245614035087719</v>
      </c>
      <c r="H22" s="51">
        <f t="shared" si="24"/>
        <v>111.36697697207252</v>
      </c>
      <c r="I22" s="21"/>
      <c r="J22" s="6" t="s">
        <v>20</v>
      </c>
      <c r="K22" s="51">
        <f t="shared" ref="K22:Q22" si="25">K21/K20*100</f>
        <v>101.62601626016261</v>
      </c>
      <c r="L22" s="51">
        <f t="shared" si="25"/>
        <v>106.23450230251505</v>
      </c>
      <c r="M22" s="51">
        <f t="shared" si="25"/>
        <v>111.7523609653725</v>
      </c>
      <c r="N22" s="51">
        <f t="shared" si="25"/>
        <v>221.62162162162161</v>
      </c>
      <c r="O22" s="51">
        <f t="shared" si="25"/>
        <v>43.991712707182316</v>
      </c>
      <c r="P22" s="51">
        <f t="shared" si="25"/>
        <v>35.433070866141733</v>
      </c>
      <c r="Q22" s="51">
        <f t="shared" si="25"/>
        <v>145.51772063933285</v>
      </c>
      <c r="R22" s="6" t="s">
        <v>20</v>
      </c>
      <c r="S22" s="51">
        <f t="shared" ref="S22:Y22" si="26">S21/S20*100</f>
        <v>151.22093023255812</v>
      </c>
      <c r="T22" s="51">
        <f t="shared" si="26"/>
        <v>93.690061953662052</v>
      </c>
      <c r="U22" s="51">
        <f t="shared" si="26"/>
        <v>95.849925634505581</v>
      </c>
      <c r="V22" s="51">
        <f t="shared" si="26"/>
        <v>236.23655913978493</v>
      </c>
      <c r="W22" s="51">
        <f t="shared" si="26"/>
        <v>30.937013131537949</v>
      </c>
      <c r="X22" s="51">
        <f t="shared" si="26"/>
        <v>19.582664526484749</v>
      </c>
      <c r="Y22" s="51">
        <f t="shared" si="26"/>
        <v>109.94796242481584</v>
      </c>
      <c r="Z22" s="72"/>
      <c r="AA22" s="68" t="s">
        <v>20</v>
      </c>
      <c r="AB22" s="51">
        <f t="shared" ref="AB22:AH22" si="27">AB21/AB20*100</f>
        <v>0</v>
      </c>
      <c r="AC22" s="51">
        <f t="shared" si="27"/>
        <v>0</v>
      </c>
      <c r="AD22" s="51">
        <f t="shared" si="27"/>
        <v>0</v>
      </c>
      <c r="AE22" s="51">
        <f t="shared" si="27"/>
        <v>0</v>
      </c>
      <c r="AF22" s="51">
        <f t="shared" si="27"/>
        <v>0</v>
      </c>
      <c r="AG22" s="51">
        <f t="shared" si="27"/>
        <v>0</v>
      </c>
      <c r="AH22" s="51">
        <f t="shared" si="27"/>
        <v>0</v>
      </c>
      <c r="AI22" s="21"/>
      <c r="AJ22" s="6" t="s">
        <v>20</v>
      </c>
      <c r="AK22" s="51">
        <f t="shared" ref="AK22:AQ22" si="28">AK21/AK20*100</f>
        <v>0</v>
      </c>
      <c r="AL22" s="51">
        <f t="shared" si="28"/>
        <v>0</v>
      </c>
      <c r="AM22" s="51">
        <f t="shared" si="28"/>
        <v>0</v>
      </c>
      <c r="AN22" s="51">
        <f t="shared" si="28"/>
        <v>0</v>
      </c>
      <c r="AO22" s="51">
        <f t="shared" si="28"/>
        <v>0</v>
      </c>
      <c r="AP22" s="51">
        <f t="shared" si="28"/>
        <v>0</v>
      </c>
      <c r="AQ22" s="51">
        <f t="shared" si="28"/>
        <v>0</v>
      </c>
    </row>
    <row r="23" spans="1:43" s="216" customFormat="1">
      <c r="A23" s="118" t="s">
        <v>21</v>
      </c>
      <c r="B23" s="119">
        <f>+K23+S23+AK23</f>
        <v>0.5</v>
      </c>
      <c r="C23" s="119">
        <f>+L23+T23+AL23</f>
        <v>62</v>
      </c>
      <c r="D23" s="119">
        <f>E23+F23+G23+H23</f>
        <v>52</v>
      </c>
      <c r="E23" s="119">
        <f t="shared" ref="E23:H24" si="29">+N23+V23+AN23</f>
        <v>6</v>
      </c>
      <c r="F23" s="119">
        <f t="shared" si="29"/>
        <v>13</v>
      </c>
      <c r="G23" s="119">
        <f t="shared" si="29"/>
        <v>1</v>
      </c>
      <c r="H23" s="119">
        <f t="shared" si="29"/>
        <v>32</v>
      </c>
      <c r="J23" s="118" t="s">
        <v>21</v>
      </c>
      <c r="K23" s="119"/>
      <c r="L23" s="119"/>
      <c r="M23" s="119">
        <f>N23+O23+P23+Q23</f>
        <v>0</v>
      </c>
      <c r="N23" s="119"/>
      <c r="O23" s="119"/>
      <c r="P23" s="119"/>
      <c r="Q23" s="119"/>
      <c r="R23" s="118" t="s">
        <v>21</v>
      </c>
      <c r="S23" s="119">
        <v>0.5</v>
      </c>
      <c r="T23" s="119">
        <v>62</v>
      </c>
      <c r="U23" s="119">
        <f>V23+W23+X23+Y23</f>
        <v>52</v>
      </c>
      <c r="V23" s="119">
        <v>6</v>
      </c>
      <c r="W23" s="119">
        <v>13</v>
      </c>
      <c r="X23" s="119">
        <v>1</v>
      </c>
      <c r="Y23" s="119">
        <v>32</v>
      </c>
      <c r="Z23" s="254"/>
      <c r="AA23" s="120" t="s">
        <v>21</v>
      </c>
      <c r="AB23" s="119"/>
      <c r="AC23" s="119"/>
      <c r="AD23" s="119"/>
      <c r="AE23" s="119"/>
      <c r="AF23" s="119"/>
      <c r="AG23" s="119"/>
      <c r="AH23" s="119"/>
      <c r="AJ23" s="118" t="s">
        <v>21</v>
      </c>
      <c r="AK23" s="119"/>
      <c r="AL23" s="119"/>
      <c r="AM23" s="119"/>
      <c r="AN23" s="119"/>
      <c r="AO23" s="119"/>
      <c r="AP23" s="119"/>
      <c r="AQ23" s="119"/>
    </row>
    <row r="24" spans="1:43">
      <c r="A24" s="6" t="s">
        <v>22</v>
      </c>
      <c r="B24" s="229">
        <f>+K24+S24+AK24</f>
        <v>0</v>
      </c>
      <c r="C24" s="229">
        <f>+L24+T24+AL24</f>
        <v>0</v>
      </c>
      <c r="D24" s="229">
        <f>E24+F24+G24+H24</f>
        <v>0</v>
      </c>
      <c r="E24" s="229">
        <f t="shared" si="29"/>
        <v>0</v>
      </c>
      <c r="F24" s="229">
        <f t="shared" si="29"/>
        <v>0</v>
      </c>
      <c r="G24" s="229">
        <f t="shared" si="29"/>
        <v>0</v>
      </c>
      <c r="H24" s="229">
        <f t="shared" si="29"/>
        <v>0</v>
      </c>
      <c r="J24" s="6" t="s">
        <v>22</v>
      </c>
      <c r="K24" s="229"/>
      <c r="L24" s="229"/>
      <c r="M24" s="229">
        <f>N24+O24+P24+Q24</f>
        <v>0</v>
      </c>
      <c r="N24" s="229"/>
      <c r="O24" s="229"/>
      <c r="P24" s="229"/>
      <c r="Q24" s="229"/>
      <c r="R24" s="6" t="s">
        <v>22</v>
      </c>
      <c r="S24" s="229"/>
      <c r="T24" s="229"/>
      <c r="U24" s="229">
        <f>V24+W24+X24+Y24</f>
        <v>0</v>
      </c>
      <c r="V24" s="229"/>
      <c r="W24" s="229"/>
      <c r="X24" s="229"/>
      <c r="Y24" s="229"/>
      <c r="Z24" s="67"/>
      <c r="AA24" s="68" t="s">
        <v>22</v>
      </c>
      <c r="AB24" s="229"/>
      <c r="AC24" s="229">
        <v>0</v>
      </c>
      <c r="AD24" s="229">
        <f>AE24+AF24+AG24+AH24</f>
        <v>0</v>
      </c>
      <c r="AE24" s="229">
        <v>0</v>
      </c>
      <c r="AF24" s="229">
        <v>0</v>
      </c>
      <c r="AG24" s="229"/>
      <c r="AH24" s="229">
        <v>0</v>
      </c>
      <c r="AJ24" s="6" t="s">
        <v>22</v>
      </c>
      <c r="AK24" s="229"/>
      <c r="AL24" s="229"/>
      <c r="AM24" s="229"/>
      <c r="AN24" s="229"/>
      <c r="AO24" s="229"/>
      <c r="AP24" s="229"/>
      <c r="AQ24" s="229"/>
    </row>
    <row r="25" spans="1:43">
      <c r="A25" s="6" t="s">
        <v>12</v>
      </c>
      <c r="B25" s="51">
        <f t="shared" ref="B25:G25" si="30">+B24/B23*100</f>
        <v>0</v>
      </c>
      <c r="C25" s="51">
        <f t="shared" si="30"/>
        <v>0</v>
      </c>
      <c r="D25" s="51">
        <f t="shared" si="30"/>
        <v>0</v>
      </c>
      <c r="E25" s="51">
        <f t="shared" si="30"/>
        <v>0</v>
      </c>
      <c r="F25" s="51">
        <f t="shared" si="30"/>
        <v>0</v>
      </c>
      <c r="G25" s="51">
        <f t="shared" si="30"/>
        <v>0</v>
      </c>
      <c r="H25" s="51">
        <f>+H24/H23*100</f>
        <v>0</v>
      </c>
      <c r="J25" s="6" t="s">
        <v>12</v>
      </c>
      <c r="K25" s="229"/>
      <c r="L25" s="229"/>
      <c r="M25" s="229">
        <f>N25+O25+P25+Q25</f>
        <v>0</v>
      </c>
      <c r="N25" s="229"/>
      <c r="O25" s="229"/>
      <c r="P25" s="229"/>
      <c r="Q25" s="229"/>
      <c r="R25" s="6" t="s">
        <v>12</v>
      </c>
      <c r="S25" s="122">
        <f t="shared" ref="S25:Y25" si="31">S24/S23*100</f>
        <v>0</v>
      </c>
      <c r="T25" s="122">
        <f t="shared" si="31"/>
        <v>0</v>
      </c>
      <c r="U25" s="122">
        <f t="shared" si="31"/>
        <v>0</v>
      </c>
      <c r="V25" s="122">
        <f t="shared" si="31"/>
        <v>0</v>
      </c>
      <c r="W25" s="122">
        <f t="shared" si="31"/>
        <v>0</v>
      </c>
      <c r="X25" s="122">
        <f t="shared" si="31"/>
        <v>0</v>
      </c>
      <c r="Y25" s="122">
        <f t="shared" si="31"/>
        <v>0</v>
      </c>
      <c r="Z25" s="67"/>
      <c r="AA25" s="68" t="s">
        <v>12</v>
      </c>
      <c r="AB25" s="229"/>
      <c r="AC25" s="229"/>
      <c r="AD25" s="229">
        <f>AE25+AF25+AG25+AH25</f>
        <v>0</v>
      </c>
      <c r="AE25" s="229"/>
      <c r="AF25" s="229"/>
      <c r="AG25" s="229"/>
      <c r="AH25" s="229"/>
      <c r="AJ25" s="6" t="s">
        <v>12</v>
      </c>
      <c r="AK25" s="229"/>
      <c r="AL25" s="229"/>
      <c r="AM25" s="229"/>
      <c r="AN25" s="229"/>
      <c r="AO25" s="229"/>
      <c r="AP25" s="229"/>
      <c r="AQ25" s="229"/>
    </row>
    <row r="26" spans="1:43" s="216" customFormat="1">
      <c r="A26" s="118" t="s">
        <v>23</v>
      </c>
      <c r="B26" s="119">
        <f>+K26+S26+AK26</f>
        <v>142.5</v>
      </c>
      <c r="C26" s="119">
        <f>+L26+T26+AL26</f>
        <v>4899</v>
      </c>
      <c r="D26" s="119">
        <f>E26+F26+G26+H26</f>
        <v>4362</v>
      </c>
      <c r="E26" s="119">
        <f t="shared" ref="E26:H27" si="32">+N26+V26+AN26</f>
        <v>58</v>
      </c>
      <c r="F26" s="119">
        <f t="shared" si="32"/>
        <v>862</v>
      </c>
      <c r="G26" s="119">
        <f t="shared" si="32"/>
        <v>196</v>
      </c>
      <c r="H26" s="119">
        <f t="shared" si="32"/>
        <v>3246</v>
      </c>
      <c r="J26" s="118" t="s">
        <v>23</v>
      </c>
      <c r="K26" s="119">
        <v>50.2</v>
      </c>
      <c r="L26" s="119">
        <v>895</v>
      </c>
      <c r="M26" s="119">
        <f>N26+O26+P26+Q26</f>
        <v>788</v>
      </c>
      <c r="N26" s="119">
        <v>18</v>
      </c>
      <c r="O26" s="119">
        <v>134</v>
      </c>
      <c r="P26" s="119">
        <v>36</v>
      </c>
      <c r="Q26" s="119">
        <v>600</v>
      </c>
      <c r="R26" s="118" t="s">
        <v>23</v>
      </c>
      <c r="S26" s="119">
        <v>87.5</v>
      </c>
      <c r="T26" s="119">
        <v>3801</v>
      </c>
      <c r="U26" s="119">
        <f>V26+W26+X26+Y26</f>
        <v>3398</v>
      </c>
      <c r="V26" s="119">
        <v>40</v>
      </c>
      <c r="W26" s="119">
        <v>703</v>
      </c>
      <c r="X26" s="119">
        <v>153</v>
      </c>
      <c r="Y26" s="119">
        <v>2502</v>
      </c>
      <c r="Z26" s="254"/>
      <c r="AA26" s="120" t="s">
        <v>23</v>
      </c>
      <c r="AB26" s="119">
        <v>1.8</v>
      </c>
      <c r="AC26" s="119">
        <v>95</v>
      </c>
      <c r="AD26" s="119">
        <f>AE26+AF26+AG26+AH26</f>
        <v>81</v>
      </c>
      <c r="AE26" s="119">
        <v>24</v>
      </c>
      <c r="AF26" s="119">
        <v>5</v>
      </c>
      <c r="AG26" s="119">
        <v>1</v>
      </c>
      <c r="AH26" s="119">
        <v>51</v>
      </c>
      <c r="AJ26" s="118" t="s">
        <v>23</v>
      </c>
      <c r="AK26" s="119">
        <v>4.8</v>
      </c>
      <c r="AL26" s="119">
        <v>203</v>
      </c>
      <c r="AM26" s="119">
        <f>AN26+AO26+AP26+AQ26</f>
        <v>176</v>
      </c>
      <c r="AN26" s="119">
        <v>0</v>
      </c>
      <c r="AO26" s="119">
        <v>25</v>
      </c>
      <c r="AP26" s="119">
        <v>7</v>
      </c>
      <c r="AQ26" s="119">
        <v>144</v>
      </c>
    </row>
    <row r="27" spans="1:43">
      <c r="A27" s="6" t="s">
        <v>24</v>
      </c>
      <c r="B27" s="122">
        <f>+K27+S27+AK27</f>
        <v>185.245</v>
      </c>
      <c r="C27" s="229">
        <f>+L27+T27+AL27</f>
        <v>3015</v>
      </c>
      <c r="D27" s="229">
        <f>E27+F27+G27+H27</f>
        <v>2775</v>
      </c>
      <c r="E27" s="229">
        <f t="shared" si="32"/>
        <v>168</v>
      </c>
      <c r="F27" s="229">
        <f t="shared" si="32"/>
        <v>322</v>
      </c>
      <c r="G27" s="229">
        <f t="shared" si="32"/>
        <v>40</v>
      </c>
      <c r="H27" s="229">
        <f t="shared" si="32"/>
        <v>2245</v>
      </c>
      <c r="J27" s="6" t="s">
        <v>24</v>
      </c>
      <c r="K27" s="123">
        <v>49.95</v>
      </c>
      <c r="L27" s="229">
        <v>679</v>
      </c>
      <c r="M27" s="229">
        <f>N27+O27+P27+Q27</f>
        <v>609</v>
      </c>
      <c r="N27" s="229">
        <v>24</v>
      </c>
      <c r="O27" s="229">
        <v>100</v>
      </c>
      <c r="P27" s="229">
        <v>22</v>
      </c>
      <c r="Q27" s="229">
        <v>463</v>
      </c>
      <c r="R27" s="6" t="s">
        <v>24</v>
      </c>
      <c r="S27" s="229">
        <v>135.29499999999999</v>
      </c>
      <c r="T27" s="229">
        <v>2336</v>
      </c>
      <c r="U27" s="229">
        <f>V27+W27+X27+Y27</f>
        <v>2166</v>
      </c>
      <c r="V27" s="229">
        <v>144</v>
      </c>
      <c r="W27" s="229">
        <v>222</v>
      </c>
      <c r="X27" s="229">
        <v>18</v>
      </c>
      <c r="Y27" s="229">
        <v>1782</v>
      </c>
      <c r="Z27" s="67"/>
      <c r="AA27" s="68" t="s">
        <v>24</v>
      </c>
      <c r="AB27" s="122"/>
      <c r="AC27" s="229"/>
      <c r="AD27" s="229"/>
      <c r="AE27" s="229"/>
      <c r="AF27" s="229"/>
      <c r="AG27" s="229"/>
      <c r="AH27" s="229"/>
      <c r="AJ27" s="6" t="s">
        <v>24</v>
      </c>
      <c r="AK27" s="122"/>
      <c r="AL27" s="229"/>
      <c r="AM27" s="229">
        <f>AN27+AO27+AP27+AQ27</f>
        <v>0</v>
      </c>
      <c r="AN27" s="229">
        <v>0</v>
      </c>
      <c r="AO27" s="229">
        <v>0</v>
      </c>
      <c r="AP27" s="229">
        <v>0</v>
      </c>
      <c r="AQ27" s="229"/>
    </row>
    <row r="28" spans="1:43">
      <c r="A28" s="6" t="s">
        <v>12</v>
      </c>
      <c r="B28" s="51">
        <f t="shared" ref="B28:H28" si="33">B27/B26*100</f>
        <v>129.99649122807017</v>
      </c>
      <c r="C28" s="51">
        <f t="shared" si="33"/>
        <v>61.54317207593386</v>
      </c>
      <c r="D28" s="51">
        <f t="shared" si="33"/>
        <v>63.617606602475931</v>
      </c>
      <c r="E28" s="51">
        <f t="shared" si="33"/>
        <v>289.65517241379308</v>
      </c>
      <c r="F28" s="51">
        <f t="shared" si="33"/>
        <v>37.354988399071928</v>
      </c>
      <c r="G28" s="51">
        <f t="shared" si="33"/>
        <v>20.408163265306122</v>
      </c>
      <c r="H28" s="51">
        <f t="shared" si="33"/>
        <v>69.162045594577933</v>
      </c>
      <c r="I28" s="21"/>
      <c r="J28" s="6" t="s">
        <v>12</v>
      </c>
      <c r="K28" s="51">
        <f t="shared" ref="K28:Q28" si="34">K27/K26*100</f>
        <v>99.501992031872504</v>
      </c>
      <c r="L28" s="51">
        <f t="shared" si="34"/>
        <v>75.865921787709496</v>
      </c>
      <c r="M28" s="51">
        <f t="shared" si="34"/>
        <v>77.28426395939087</v>
      </c>
      <c r="N28" s="51">
        <f t="shared" si="34"/>
        <v>133.33333333333331</v>
      </c>
      <c r="O28" s="51">
        <f>O27/O26*100</f>
        <v>74.626865671641795</v>
      </c>
      <c r="P28" s="51">
        <f t="shared" si="34"/>
        <v>61.111111111111114</v>
      </c>
      <c r="Q28" s="51">
        <f t="shared" si="34"/>
        <v>77.166666666666657</v>
      </c>
      <c r="R28" s="6" t="s">
        <v>12</v>
      </c>
      <c r="S28" s="51">
        <f t="shared" ref="S28:Y28" si="35">S27/S26*100</f>
        <v>154.62285714285713</v>
      </c>
      <c r="T28" s="51">
        <f t="shared" si="35"/>
        <v>61.457511181268089</v>
      </c>
      <c r="U28" s="51">
        <f t="shared" si="35"/>
        <v>63.743378457916421</v>
      </c>
      <c r="V28" s="51">
        <f t="shared" si="35"/>
        <v>360</v>
      </c>
      <c r="W28" s="51">
        <f t="shared" si="35"/>
        <v>31.578947368421051</v>
      </c>
      <c r="X28" s="51">
        <f t="shared" si="35"/>
        <v>11.76470588235294</v>
      </c>
      <c r="Y28" s="51">
        <f t="shared" si="35"/>
        <v>71.223021582733821</v>
      </c>
      <c r="Z28" s="72"/>
      <c r="AA28" s="68" t="s">
        <v>12</v>
      </c>
      <c r="AB28" s="51">
        <f t="shared" ref="AB28:AH28" si="36">AB27/AB26*100</f>
        <v>0</v>
      </c>
      <c r="AC28" s="51">
        <f t="shared" si="36"/>
        <v>0</v>
      </c>
      <c r="AD28" s="51">
        <f t="shared" si="36"/>
        <v>0</v>
      </c>
      <c r="AE28" s="51">
        <f t="shared" si="36"/>
        <v>0</v>
      </c>
      <c r="AF28" s="51">
        <f t="shared" si="36"/>
        <v>0</v>
      </c>
      <c r="AG28" s="51">
        <f t="shared" si="36"/>
        <v>0</v>
      </c>
      <c r="AH28" s="51">
        <f t="shared" si="36"/>
        <v>0</v>
      </c>
      <c r="AJ28" s="6" t="s">
        <v>12</v>
      </c>
      <c r="AK28" s="51">
        <f t="shared" ref="AK28:AQ28" si="37">AK27/AK26*100</f>
        <v>0</v>
      </c>
      <c r="AL28" s="51">
        <f t="shared" si="37"/>
        <v>0</v>
      </c>
      <c r="AM28" s="51">
        <f t="shared" si="37"/>
        <v>0</v>
      </c>
      <c r="AN28" s="229" t="e">
        <f t="shared" si="37"/>
        <v>#DIV/0!</v>
      </c>
      <c r="AO28" s="229">
        <f t="shared" si="37"/>
        <v>0</v>
      </c>
      <c r="AP28" s="229">
        <f t="shared" si="37"/>
        <v>0</v>
      </c>
      <c r="AQ28" s="51">
        <f t="shared" si="37"/>
        <v>0</v>
      </c>
    </row>
    <row r="29" spans="1:43" s="216" customFormat="1">
      <c r="A29" s="118" t="s">
        <v>25</v>
      </c>
      <c r="B29" s="119">
        <f>+K29+S29+AK29</f>
        <v>372</v>
      </c>
      <c r="C29" s="119">
        <f>+L29+T29+AL29</f>
        <v>16246</v>
      </c>
      <c r="D29" s="119">
        <f>E29+F29+G29+H29</f>
        <v>14404</v>
      </c>
      <c r="E29" s="119">
        <f t="shared" ref="E29:H30" si="38">+N29+V29+AN29</f>
        <v>472</v>
      </c>
      <c r="F29" s="119">
        <f t="shared" si="38"/>
        <v>2781</v>
      </c>
      <c r="G29" s="119">
        <f t="shared" si="38"/>
        <v>233</v>
      </c>
      <c r="H29" s="119">
        <f t="shared" si="38"/>
        <v>10918</v>
      </c>
      <c r="J29" s="118" t="s">
        <v>25</v>
      </c>
      <c r="K29" s="119">
        <v>104.3</v>
      </c>
      <c r="L29" s="119">
        <v>1714</v>
      </c>
      <c r="M29" s="119">
        <f>N29+O29+P29+Q29</f>
        <v>1479</v>
      </c>
      <c r="N29" s="119">
        <v>14</v>
      </c>
      <c r="O29" s="119">
        <v>230</v>
      </c>
      <c r="P29" s="119">
        <v>73</v>
      </c>
      <c r="Q29" s="119">
        <v>1162</v>
      </c>
      <c r="R29" s="118" t="s">
        <v>25</v>
      </c>
      <c r="S29" s="119">
        <v>259.5</v>
      </c>
      <c r="T29" s="119">
        <v>14044</v>
      </c>
      <c r="U29" s="119">
        <f>V29+W29+X29+Y29</f>
        <v>12508</v>
      </c>
      <c r="V29" s="119">
        <v>456</v>
      </c>
      <c r="W29" s="119">
        <v>2512</v>
      </c>
      <c r="X29" s="119">
        <v>146</v>
      </c>
      <c r="Y29" s="119">
        <v>9394</v>
      </c>
      <c r="Z29" s="254"/>
      <c r="AA29" s="120" t="s">
        <v>25</v>
      </c>
      <c r="AB29" s="119">
        <v>1.8</v>
      </c>
      <c r="AC29" s="119">
        <v>98</v>
      </c>
      <c r="AD29" s="119">
        <f>AE29+AF29+AG29+AH29</f>
        <v>82</v>
      </c>
      <c r="AE29" s="119">
        <v>26</v>
      </c>
      <c r="AF29" s="119">
        <v>5</v>
      </c>
      <c r="AG29" s="119">
        <v>2</v>
      </c>
      <c r="AH29" s="119">
        <v>49</v>
      </c>
      <c r="AJ29" s="118" t="s">
        <v>25</v>
      </c>
      <c r="AK29" s="119">
        <v>8.1999999999999993</v>
      </c>
      <c r="AL29" s="119">
        <v>488</v>
      </c>
      <c r="AM29" s="119">
        <f>AN29+AO29+AP29+AQ29</f>
        <v>417</v>
      </c>
      <c r="AN29" s="119">
        <v>2</v>
      </c>
      <c r="AO29" s="119">
        <v>39</v>
      </c>
      <c r="AP29" s="119">
        <v>14</v>
      </c>
      <c r="AQ29" s="119">
        <v>362</v>
      </c>
    </row>
    <row r="30" spans="1:43">
      <c r="A30" s="6" t="s">
        <v>26</v>
      </c>
      <c r="B30" s="122">
        <f>+K30+S30+AK30</f>
        <v>546.41999999999996</v>
      </c>
      <c r="C30" s="229">
        <f>+L30+T30+AL30</f>
        <v>17976</v>
      </c>
      <c r="D30" s="229">
        <f>E30+F30+G30+H30</f>
        <v>16260</v>
      </c>
      <c r="E30" s="229">
        <f t="shared" si="38"/>
        <v>1983</v>
      </c>
      <c r="F30" s="229">
        <f t="shared" si="38"/>
        <v>1159</v>
      </c>
      <c r="G30" s="229">
        <f t="shared" si="38"/>
        <v>81</v>
      </c>
      <c r="H30" s="229">
        <f t="shared" si="38"/>
        <v>13037</v>
      </c>
      <c r="J30" s="6" t="s">
        <v>26</v>
      </c>
      <c r="K30" s="123">
        <v>115.8</v>
      </c>
      <c r="L30" s="229">
        <v>2908</v>
      </c>
      <c r="M30" s="229">
        <f>N30+O30+P30+Q30</f>
        <v>2595</v>
      </c>
      <c r="N30" s="229">
        <v>63</v>
      </c>
      <c r="O30" s="229">
        <v>216</v>
      </c>
      <c r="P30" s="229">
        <v>47</v>
      </c>
      <c r="Q30" s="229">
        <v>2269</v>
      </c>
      <c r="R30" s="6" t="s">
        <v>26</v>
      </c>
      <c r="S30" s="123">
        <v>430.62</v>
      </c>
      <c r="T30" s="229">
        <v>15068</v>
      </c>
      <c r="U30" s="229">
        <f>V30+W30+X30+Y30</f>
        <v>13665</v>
      </c>
      <c r="V30" s="229">
        <v>1920</v>
      </c>
      <c r="W30" s="229">
        <v>943</v>
      </c>
      <c r="X30" s="229">
        <v>34</v>
      </c>
      <c r="Y30" s="229">
        <v>10768</v>
      </c>
      <c r="Z30" s="67"/>
      <c r="AA30" s="68" t="s">
        <v>26</v>
      </c>
      <c r="AB30" s="122"/>
      <c r="AC30" s="229"/>
      <c r="AD30" s="229">
        <f>AE30+AF30+AG30+AH30</f>
        <v>0</v>
      </c>
      <c r="AE30" s="229">
        <v>0</v>
      </c>
      <c r="AF30" s="229">
        <v>0</v>
      </c>
      <c r="AG30" s="229">
        <v>0</v>
      </c>
      <c r="AH30" s="229"/>
      <c r="AJ30" s="6" t="s">
        <v>26</v>
      </c>
      <c r="AK30" s="123"/>
      <c r="AL30" s="229"/>
      <c r="AM30" s="229"/>
      <c r="AN30" s="229"/>
      <c r="AO30" s="229"/>
      <c r="AP30" s="229"/>
      <c r="AQ30" s="229"/>
    </row>
    <row r="31" spans="1:43">
      <c r="A31" s="6" t="s">
        <v>12</v>
      </c>
      <c r="B31" s="51">
        <f t="shared" ref="B31:H31" si="39">B30/B29*100</f>
        <v>146.88709677419354</v>
      </c>
      <c r="C31" s="51">
        <f t="shared" si="39"/>
        <v>110.64877508309738</v>
      </c>
      <c r="D31" s="51">
        <f t="shared" si="39"/>
        <v>112.88530963621217</v>
      </c>
      <c r="E31" s="51">
        <f t="shared" si="39"/>
        <v>420.12711864406782</v>
      </c>
      <c r="F31" s="51">
        <f t="shared" si="39"/>
        <v>41.67565623876304</v>
      </c>
      <c r="G31" s="51">
        <f t="shared" si="39"/>
        <v>34.763948497854074</v>
      </c>
      <c r="H31" s="51">
        <f t="shared" si="39"/>
        <v>119.4083165414911</v>
      </c>
      <c r="I31" s="21"/>
      <c r="J31" s="6" t="s">
        <v>12</v>
      </c>
      <c r="K31" s="51">
        <f t="shared" ref="K31:Q31" si="40">K30/K29*100</f>
        <v>111.02588686481305</v>
      </c>
      <c r="L31" s="51">
        <f t="shared" si="40"/>
        <v>169.66161026837807</v>
      </c>
      <c r="M31" s="51">
        <f t="shared" si="40"/>
        <v>175.45638945233267</v>
      </c>
      <c r="N31" s="51">
        <f t="shared" si="40"/>
        <v>450</v>
      </c>
      <c r="O31" s="51">
        <f t="shared" si="40"/>
        <v>93.913043478260875</v>
      </c>
      <c r="P31" s="51">
        <f t="shared" si="40"/>
        <v>64.38356164383562</v>
      </c>
      <c r="Q31" s="51">
        <f t="shared" si="40"/>
        <v>195.26678141135974</v>
      </c>
      <c r="R31" s="6" t="s">
        <v>12</v>
      </c>
      <c r="S31" s="51">
        <f t="shared" ref="S31:Y31" si="41">S30/S29*100</f>
        <v>165.94219653179192</v>
      </c>
      <c r="T31" s="51">
        <f t="shared" si="41"/>
        <v>107.29136998006265</v>
      </c>
      <c r="U31" s="51">
        <f t="shared" si="41"/>
        <v>109.25007994883276</v>
      </c>
      <c r="V31" s="51">
        <f t="shared" si="41"/>
        <v>421.05263157894734</v>
      </c>
      <c r="W31" s="51">
        <f t="shared" si="41"/>
        <v>37.539808917197455</v>
      </c>
      <c r="X31" s="51">
        <f t="shared" si="41"/>
        <v>23.287671232876711</v>
      </c>
      <c r="Y31" s="51">
        <f t="shared" si="41"/>
        <v>114.62635724930807</v>
      </c>
      <c r="Z31" s="72"/>
      <c r="AA31" s="68" t="s">
        <v>12</v>
      </c>
      <c r="AB31" s="51">
        <f t="shared" ref="AB31:AH31" si="42">AB30/AB29*100</f>
        <v>0</v>
      </c>
      <c r="AC31" s="51">
        <f t="shared" si="42"/>
        <v>0</v>
      </c>
      <c r="AD31" s="51">
        <f t="shared" si="42"/>
        <v>0</v>
      </c>
      <c r="AE31" s="51">
        <f t="shared" si="42"/>
        <v>0</v>
      </c>
      <c r="AF31" s="51">
        <f t="shared" si="42"/>
        <v>0</v>
      </c>
      <c r="AG31" s="51">
        <f t="shared" si="42"/>
        <v>0</v>
      </c>
      <c r="AH31" s="51">
        <f t="shared" si="42"/>
        <v>0</v>
      </c>
      <c r="AJ31" s="6" t="s">
        <v>12</v>
      </c>
      <c r="AK31" s="51">
        <f t="shared" ref="AK31:AQ31" si="43">AK30/AK29*100</f>
        <v>0</v>
      </c>
      <c r="AL31" s="51">
        <f t="shared" si="43"/>
        <v>0</v>
      </c>
      <c r="AM31" s="51">
        <f t="shared" si="43"/>
        <v>0</v>
      </c>
      <c r="AN31" s="51">
        <f t="shared" si="43"/>
        <v>0</v>
      </c>
      <c r="AO31" s="51">
        <f t="shared" si="43"/>
        <v>0</v>
      </c>
      <c r="AP31" s="51">
        <f t="shared" si="43"/>
        <v>0</v>
      </c>
      <c r="AQ31" s="51">
        <f t="shared" si="43"/>
        <v>0</v>
      </c>
    </row>
    <row r="32" spans="1:43" s="216" customFormat="1">
      <c r="A32" s="118" t="s">
        <v>27</v>
      </c>
      <c r="B32" s="119">
        <f>+K32+S32+AK32</f>
        <v>0</v>
      </c>
      <c r="C32" s="119">
        <f>+L32+T32+AL32</f>
        <v>0</v>
      </c>
      <c r="D32" s="119">
        <f>E32+F32+G32+H32</f>
        <v>0</v>
      </c>
      <c r="E32" s="119">
        <f t="shared" ref="E32:H33" si="44">+N32+V32+AN32</f>
        <v>0</v>
      </c>
      <c r="F32" s="119">
        <f t="shared" si="44"/>
        <v>0</v>
      </c>
      <c r="G32" s="119">
        <f t="shared" si="44"/>
        <v>0</v>
      </c>
      <c r="H32" s="119">
        <f t="shared" si="44"/>
        <v>0</v>
      </c>
      <c r="J32" s="118" t="s">
        <v>27</v>
      </c>
      <c r="K32" s="119"/>
      <c r="L32" s="119"/>
      <c r="M32" s="119">
        <f>N32+O32+P32+Q32</f>
        <v>0</v>
      </c>
      <c r="N32" s="119"/>
      <c r="O32" s="119"/>
      <c r="P32" s="119"/>
      <c r="Q32" s="119"/>
      <c r="R32" s="118" t="s">
        <v>27</v>
      </c>
      <c r="S32" s="119">
        <v>0</v>
      </c>
      <c r="T32" s="119">
        <v>0</v>
      </c>
      <c r="U32" s="119">
        <f>V32+W32+X32+Y32</f>
        <v>0</v>
      </c>
      <c r="V32" s="119">
        <v>0</v>
      </c>
      <c r="W32" s="119"/>
      <c r="X32" s="119"/>
      <c r="Y32" s="119">
        <v>0</v>
      </c>
      <c r="Z32" s="254"/>
      <c r="AA32" s="120" t="s">
        <v>27</v>
      </c>
      <c r="AB32" s="119"/>
      <c r="AC32" s="119"/>
      <c r="AD32" s="119">
        <f>AE32+AF32+AG32+AH32</f>
        <v>0</v>
      </c>
      <c r="AE32" s="119"/>
      <c r="AF32" s="119"/>
      <c r="AG32" s="119"/>
      <c r="AH32" s="119"/>
      <c r="AJ32" s="118" t="s">
        <v>27</v>
      </c>
      <c r="AK32" s="119"/>
      <c r="AL32" s="119"/>
      <c r="AM32" s="119">
        <f t="shared" ref="AM32:AM39" si="45">AN32+AO32+AP32+AQ32</f>
        <v>0</v>
      </c>
      <c r="AN32" s="119"/>
      <c r="AO32" s="119"/>
      <c r="AP32" s="119"/>
      <c r="AQ32" s="119"/>
    </row>
    <row r="33" spans="1:49">
      <c r="A33" s="6" t="s">
        <v>28</v>
      </c>
      <c r="B33" s="229">
        <f>+K33+S33+AK33</f>
        <v>0.69</v>
      </c>
      <c r="C33" s="229">
        <f>+L33+T33+AL33</f>
        <v>0</v>
      </c>
      <c r="D33" s="229">
        <f>E33+F33+G33+H33</f>
        <v>0</v>
      </c>
      <c r="E33" s="229">
        <f t="shared" si="44"/>
        <v>0</v>
      </c>
      <c r="F33" s="229">
        <f t="shared" si="44"/>
        <v>0</v>
      </c>
      <c r="G33" s="229">
        <f t="shared" si="44"/>
        <v>0</v>
      </c>
      <c r="H33" s="229">
        <f t="shared" si="44"/>
        <v>0</v>
      </c>
      <c r="J33" s="6" t="s">
        <v>28</v>
      </c>
      <c r="K33" s="229">
        <v>0.69</v>
      </c>
      <c r="L33" s="229"/>
      <c r="M33" s="229">
        <f>N33+O33+P33+Q33</f>
        <v>0</v>
      </c>
      <c r="N33" s="229"/>
      <c r="O33" s="229"/>
      <c r="P33" s="229"/>
      <c r="Q33" s="229"/>
      <c r="R33" s="6" t="s">
        <v>28</v>
      </c>
      <c r="S33" s="229"/>
      <c r="T33" s="229"/>
      <c r="U33" s="229">
        <f>V33+W33+X33+Y33</f>
        <v>0</v>
      </c>
      <c r="V33" s="229"/>
      <c r="W33" s="229"/>
      <c r="X33" s="229"/>
      <c r="Y33" s="229"/>
      <c r="Z33" s="67"/>
      <c r="AA33" s="68" t="s">
        <v>28</v>
      </c>
      <c r="AB33" s="229"/>
      <c r="AC33" s="229"/>
      <c r="AD33" s="229">
        <f>AE33+AF33+AG33+AH33</f>
        <v>0</v>
      </c>
      <c r="AE33" s="229"/>
      <c r="AF33" s="229"/>
      <c r="AG33" s="229"/>
      <c r="AH33" s="229"/>
      <c r="AJ33" s="6" t="s">
        <v>28</v>
      </c>
      <c r="AK33" s="229"/>
      <c r="AL33" s="229"/>
      <c r="AM33" s="229">
        <f t="shared" si="45"/>
        <v>0</v>
      </c>
      <c r="AN33" s="229"/>
      <c r="AO33" s="229"/>
      <c r="AP33" s="229"/>
      <c r="AQ33" s="229"/>
    </row>
    <row r="34" spans="1:49">
      <c r="A34" s="6" t="s">
        <v>12</v>
      </c>
      <c r="B34" s="229" t="e">
        <f t="shared" ref="B34:H34" si="46">+B33/B32*100</f>
        <v>#DIV/0!</v>
      </c>
      <c r="C34" s="123" t="e">
        <f t="shared" si="46"/>
        <v>#DIV/0!</v>
      </c>
      <c r="D34" s="229" t="e">
        <f>E34+F34+G34+H34</f>
        <v>#DIV/0!</v>
      </c>
      <c r="E34" s="123" t="e">
        <f t="shared" si="46"/>
        <v>#DIV/0!</v>
      </c>
      <c r="F34" s="123" t="e">
        <f t="shared" si="46"/>
        <v>#DIV/0!</v>
      </c>
      <c r="G34" s="123" t="e">
        <f t="shared" si="46"/>
        <v>#DIV/0!</v>
      </c>
      <c r="H34" s="123" t="e">
        <f t="shared" si="46"/>
        <v>#DIV/0!</v>
      </c>
      <c r="J34" s="6" t="s">
        <v>12</v>
      </c>
      <c r="K34" s="229"/>
      <c r="L34" s="229"/>
      <c r="M34" s="229">
        <f>N34+O34+P34+Q34</f>
        <v>0</v>
      </c>
      <c r="N34" s="229"/>
      <c r="O34" s="229"/>
      <c r="P34" s="229"/>
      <c r="Q34" s="229"/>
      <c r="R34" s="6" t="s">
        <v>12</v>
      </c>
      <c r="S34" s="229" t="e">
        <f t="shared" ref="S34:Y34" si="47">S33/S32*100</f>
        <v>#DIV/0!</v>
      </c>
      <c r="T34" s="229" t="e">
        <f t="shared" si="47"/>
        <v>#DIV/0!</v>
      </c>
      <c r="U34" s="229" t="e">
        <f t="shared" si="47"/>
        <v>#DIV/0!</v>
      </c>
      <c r="V34" s="229" t="e">
        <f t="shared" si="47"/>
        <v>#DIV/0!</v>
      </c>
      <c r="W34" s="229" t="e">
        <f t="shared" si="47"/>
        <v>#DIV/0!</v>
      </c>
      <c r="X34" s="229" t="e">
        <f t="shared" si="47"/>
        <v>#DIV/0!</v>
      </c>
      <c r="Y34" s="229" t="e">
        <f t="shared" si="47"/>
        <v>#DIV/0!</v>
      </c>
      <c r="Z34" s="67"/>
      <c r="AA34" s="68" t="s">
        <v>12</v>
      </c>
      <c r="AB34" s="229" t="e">
        <f t="shared" ref="AB34:AH34" si="48">AB33/AB32*100</f>
        <v>#DIV/0!</v>
      </c>
      <c r="AC34" s="229" t="e">
        <f t="shared" si="48"/>
        <v>#DIV/0!</v>
      </c>
      <c r="AD34" s="229" t="e">
        <f t="shared" si="48"/>
        <v>#DIV/0!</v>
      </c>
      <c r="AE34" s="229" t="e">
        <f t="shared" si="48"/>
        <v>#DIV/0!</v>
      </c>
      <c r="AF34" s="229" t="e">
        <f t="shared" si="48"/>
        <v>#DIV/0!</v>
      </c>
      <c r="AG34" s="229" t="e">
        <f t="shared" si="48"/>
        <v>#DIV/0!</v>
      </c>
      <c r="AH34" s="229" t="e">
        <f t="shared" si="48"/>
        <v>#DIV/0!</v>
      </c>
      <c r="AJ34" s="6" t="s">
        <v>12</v>
      </c>
      <c r="AK34" s="229"/>
      <c r="AL34" s="229"/>
      <c r="AM34" s="229">
        <f t="shared" si="45"/>
        <v>0</v>
      </c>
      <c r="AN34" s="229"/>
      <c r="AO34" s="229"/>
      <c r="AP34" s="229"/>
      <c r="AQ34" s="229"/>
    </row>
    <row r="35" spans="1:49" s="216" customFormat="1">
      <c r="A35" s="118" t="s">
        <v>29</v>
      </c>
      <c r="B35" s="119">
        <f>+K35+S35+AK35</f>
        <v>36.1</v>
      </c>
      <c r="C35" s="119">
        <f>+L35+T35+AL35</f>
        <v>2816</v>
      </c>
      <c r="D35" s="119">
        <f>E35+F35+G35+H35</f>
        <v>2503</v>
      </c>
      <c r="E35" s="119">
        <f t="shared" ref="E35:H36" si="49">+N35+V35+AN35</f>
        <v>7</v>
      </c>
      <c r="F35" s="119">
        <f t="shared" si="49"/>
        <v>682</v>
      </c>
      <c r="G35" s="119">
        <f t="shared" si="49"/>
        <v>216</v>
      </c>
      <c r="H35" s="119">
        <f t="shared" si="49"/>
        <v>1598</v>
      </c>
      <c r="J35" s="118" t="s">
        <v>29</v>
      </c>
      <c r="K35" s="119">
        <v>0.9</v>
      </c>
      <c r="L35" s="119">
        <v>18</v>
      </c>
      <c r="M35" s="119">
        <v>14</v>
      </c>
      <c r="N35" s="119"/>
      <c r="O35" s="119">
        <v>1</v>
      </c>
      <c r="P35" s="119">
        <v>2</v>
      </c>
      <c r="Q35" s="119">
        <v>11</v>
      </c>
      <c r="R35" s="118" t="s">
        <v>29</v>
      </c>
      <c r="S35" s="119">
        <v>34.700000000000003</v>
      </c>
      <c r="T35" s="119">
        <v>2789</v>
      </c>
      <c r="U35" s="119">
        <f>V35+W35+X35+Y35</f>
        <v>2482</v>
      </c>
      <c r="V35" s="119">
        <v>7</v>
      </c>
      <c r="W35" s="119">
        <v>681</v>
      </c>
      <c r="X35" s="119">
        <v>214</v>
      </c>
      <c r="Y35" s="119">
        <v>1580</v>
      </c>
      <c r="Z35" s="254"/>
      <c r="AA35" s="120" t="s">
        <v>29</v>
      </c>
      <c r="AB35" s="119">
        <v>1.2</v>
      </c>
      <c r="AC35" s="119">
        <v>82</v>
      </c>
      <c r="AD35" s="119">
        <f>AE35+AF35+AG35+AH35</f>
        <v>74</v>
      </c>
      <c r="AE35" s="119">
        <v>1</v>
      </c>
      <c r="AF35" s="119">
        <v>20</v>
      </c>
      <c r="AG35" s="119">
        <v>7</v>
      </c>
      <c r="AH35" s="119">
        <v>46</v>
      </c>
      <c r="AJ35" s="118" t="s">
        <v>29</v>
      </c>
      <c r="AK35" s="119">
        <v>0.5</v>
      </c>
      <c r="AL35" s="119">
        <v>9</v>
      </c>
      <c r="AM35" s="119">
        <f t="shared" si="45"/>
        <v>7</v>
      </c>
      <c r="AN35" s="119"/>
      <c r="AO35" s="119"/>
      <c r="AP35" s="119"/>
      <c r="AQ35" s="119">
        <v>7</v>
      </c>
    </row>
    <row r="36" spans="1:49">
      <c r="A36" s="6" t="s">
        <v>30</v>
      </c>
      <c r="B36" s="122">
        <f>+K36+S36+AK36</f>
        <v>34.855000000000004</v>
      </c>
      <c r="C36" s="229">
        <f>+L36+T36+AL36</f>
        <v>3021</v>
      </c>
      <c r="D36" s="229">
        <f>E36+F36+G36+H36</f>
        <v>2642</v>
      </c>
      <c r="E36" s="229">
        <f t="shared" si="49"/>
        <v>5</v>
      </c>
      <c r="F36" s="229">
        <f t="shared" si="49"/>
        <v>171</v>
      </c>
      <c r="G36" s="229">
        <f t="shared" si="49"/>
        <v>64</v>
      </c>
      <c r="H36" s="229">
        <f t="shared" si="49"/>
        <v>2402</v>
      </c>
      <c r="J36" s="6" t="s">
        <v>30</v>
      </c>
      <c r="K36" s="122">
        <v>1.06</v>
      </c>
      <c r="L36" s="229">
        <v>39</v>
      </c>
      <c r="M36" s="229">
        <f>N36+O36+P36+Q36</f>
        <v>35</v>
      </c>
      <c r="N36" s="229">
        <v>0</v>
      </c>
      <c r="O36" s="229">
        <v>0</v>
      </c>
      <c r="P36" s="229">
        <v>0</v>
      </c>
      <c r="Q36" s="229">
        <v>35</v>
      </c>
      <c r="R36" s="6" t="s">
        <v>30</v>
      </c>
      <c r="S36" s="273">
        <v>33.795000000000002</v>
      </c>
      <c r="T36" s="229">
        <v>2982</v>
      </c>
      <c r="U36" s="229">
        <f>V36+W36+X36+Y36</f>
        <v>2607</v>
      </c>
      <c r="V36" s="229">
        <v>5</v>
      </c>
      <c r="W36" s="229">
        <v>171</v>
      </c>
      <c r="X36" s="229">
        <v>64</v>
      </c>
      <c r="Y36" s="229">
        <v>2367</v>
      </c>
      <c r="Z36" s="67"/>
      <c r="AA36" s="68" t="s">
        <v>30</v>
      </c>
      <c r="AB36" s="229"/>
      <c r="AC36" s="229"/>
      <c r="AD36" s="229">
        <f>AE36+AF36+AG36+AH36</f>
        <v>0</v>
      </c>
      <c r="AE36" s="229">
        <v>0</v>
      </c>
      <c r="AF36" s="229"/>
      <c r="AG36" s="229"/>
      <c r="AH36" s="229"/>
      <c r="AJ36" s="6" t="s">
        <v>30</v>
      </c>
      <c r="AK36" s="229"/>
      <c r="AL36" s="229"/>
      <c r="AM36" s="229">
        <f t="shared" si="45"/>
        <v>0</v>
      </c>
      <c r="AN36" s="229">
        <v>0</v>
      </c>
      <c r="AO36" s="229">
        <v>0</v>
      </c>
      <c r="AP36" s="229">
        <v>0</v>
      </c>
      <c r="AQ36" s="229"/>
      <c r="AS36" t="s">
        <v>81</v>
      </c>
    </row>
    <row r="37" spans="1:49">
      <c r="A37" s="6" t="s">
        <v>12</v>
      </c>
      <c r="B37" s="51">
        <f t="shared" ref="B37:H37" si="50">B36/B35*100</f>
        <v>96.551246537396125</v>
      </c>
      <c r="C37" s="51">
        <f t="shared" si="50"/>
        <v>107.27982954545455</v>
      </c>
      <c r="D37" s="122">
        <f t="shared" si="50"/>
        <v>105.55333599680384</v>
      </c>
      <c r="E37" s="51">
        <f t="shared" si="50"/>
        <v>71.428571428571431</v>
      </c>
      <c r="F37" s="51">
        <f t="shared" si="50"/>
        <v>25.073313782991203</v>
      </c>
      <c r="G37" s="51">
        <f t="shared" si="50"/>
        <v>29.629629629629626</v>
      </c>
      <c r="H37" s="51">
        <f t="shared" si="50"/>
        <v>150.31289111389236</v>
      </c>
      <c r="I37" s="21"/>
      <c r="J37" s="6" t="s">
        <v>12</v>
      </c>
      <c r="K37" s="122">
        <f t="shared" ref="K37:Q37" si="51">K36/K35*100</f>
        <v>117.77777777777779</v>
      </c>
      <c r="L37" s="51">
        <f t="shared" si="51"/>
        <v>216.66666666666666</v>
      </c>
      <c r="M37" s="51">
        <f t="shared" si="51"/>
        <v>250</v>
      </c>
      <c r="N37" s="51" t="e">
        <f>N36/N35*100</f>
        <v>#DIV/0!</v>
      </c>
      <c r="O37" s="51">
        <f t="shared" si="51"/>
        <v>0</v>
      </c>
      <c r="P37" s="51">
        <f t="shared" si="51"/>
        <v>0</v>
      </c>
      <c r="Q37" s="51">
        <f t="shared" si="51"/>
        <v>318.18181818181819</v>
      </c>
      <c r="R37" s="6" t="s">
        <v>12</v>
      </c>
      <c r="S37" s="51">
        <f t="shared" ref="S37:Y37" si="52">S36/S35*100</f>
        <v>97.391930835734868</v>
      </c>
      <c r="T37" s="51">
        <f t="shared" si="52"/>
        <v>106.92004302617426</v>
      </c>
      <c r="U37" s="51">
        <f t="shared" si="52"/>
        <v>105.03626107977438</v>
      </c>
      <c r="V37" s="51">
        <f t="shared" si="52"/>
        <v>71.428571428571431</v>
      </c>
      <c r="W37" s="51">
        <f t="shared" si="52"/>
        <v>25.110132158590311</v>
      </c>
      <c r="X37" s="51">
        <f t="shared" si="52"/>
        <v>29.906542056074763</v>
      </c>
      <c r="Y37" s="51">
        <f t="shared" si="52"/>
        <v>149.81012658227849</v>
      </c>
      <c r="Z37" s="72"/>
      <c r="AA37" s="68" t="s">
        <v>12</v>
      </c>
      <c r="AB37" s="229"/>
      <c r="AC37" s="229"/>
      <c r="AD37" s="229">
        <f>AE37+AF37+AG37+AH37</f>
        <v>0</v>
      </c>
      <c r="AE37" s="229"/>
      <c r="AF37" s="229"/>
      <c r="AG37" s="229"/>
      <c r="AH37" s="229"/>
      <c r="AJ37" s="6" t="s">
        <v>12</v>
      </c>
      <c r="AK37" s="51">
        <f t="shared" ref="AK37:AQ37" si="53">AK36/AK35*100</f>
        <v>0</v>
      </c>
      <c r="AL37" s="51">
        <f t="shared" si="53"/>
        <v>0</v>
      </c>
      <c r="AM37" s="51">
        <f t="shared" si="53"/>
        <v>0</v>
      </c>
      <c r="AN37" s="51" t="e">
        <f t="shared" si="53"/>
        <v>#DIV/0!</v>
      </c>
      <c r="AO37" s="51" t="e">
        <f t="shared" si="53"/>
        <v>#DIV/0!</v>
      </c>
      <c r="AP37" s="51" t="e">
        <f t="shared" si="53"/>
        <v>#DIV/0!</v>
      </c>
      <c r="AQ37" s="51">
        <f t="shared" si="53"/>
        <v>0</v>
      </c>
      <c r="AT37" t="s">
        <v>82</v>
      </c>
    </row>
    <row r="38" spans="1:49" s="216" customFormat="1">
      <c r="A38" s="118" t="s">
        <v>31</v>
      </c>
      <c r="B38" s="119">
        <f>+K38+S38+AK38</f>
        <v>144.39999999999998</v>
      </c>
      <c r="C38" s="119">
        <f>+L38+T38+AL38</f>
        <v>6216</v>
      </c>
      <c r="D38" s="119">
        <f>E38+F38+G38+H38</f>
        <v>5154</v>
      </c>
      <c r="E38" s="119">
        <f t="shared" ref="E38:H39" si="54">+N38+V38+AN38</f>
        <v>585</v>
      </c>
      <c r="F38" s="119">
        <f t="shared" si="54"/>
        <v>1728</v>
      </c>
      <c r="G38" s="119">
        <f t="shared" si="54"/>
        <v>266</v>
      </c>
      <c r="H38" s="119">
        <f t="shared" si="54"/>
        <v>2575</v>
      </c>
      <c r="J38" s="118" t="s">
        <v>31</v>
      </c>
      <c r="K38" s="119">
        <v>90.6</v>
      </c>
      <c r="L38" s="119">
        <v>3019</v>
      </c>
      <c r="M38" s="119">
        <f>N38+O38+P38+Q38</f>
        <v>2484</v>
      </c>
      <c r="N38" s="119">
        <v>153</v>
      </c>
      <c r="O38" s="119">
        <v>1083</v>
      </c>
      <c r="P38" s="119">
        <v>143</v>
      </c>
      <c r="Q38" s="119">
        <v>1105</v>
      </c>
      <c r="R38" s="118" t="s">
        <v>31</v>
      </c>
      <c r="S38" s="119">
        <v>47.8</v>
      </c>
      <c r="T38" s="119">
        <v>2870</v>
      </c>
      <c r="U38" s="119">
        <f>V38+W38+X38+Y38</f>
        <v>2403</v>
      </c>
      <c r="V38" s="119">
        <v>421</v>
      </c>
      <c r="W38" s="119">
        <v>584</v>
      </c>
      <c r="X38" s="119">
        <v>109</v>
      </c>
      <c r="Y38" s="119">
        <v>1289</v>
      </c>
      <c r="Z38" s="254"/>
      <c r="AA38" s="120" t="s">
        <v>31</v>
      </c>
      <c r="AB38" s="119">
        <v>7.8</v>
      </c>
      <c r="AC38" s="119">
        <v>506</v>
      </c>
      <c r="AD38" s="119">
        <f>AE38+AF38+AG38+AH38</f>
        <v>430</v>
      </c>
      <c r="AE38" s="119">
        <v>124</v>
      </c>
      <c r="AF38" s="119">
        <v>99</v>
      </c>
      <c r="AG38" s="119">
        <v>10</v>
      </c>
      <c r="AH38" s="119">
        <v>197</v>
      </c>
      <c r="AJ38" s="118" t="s">
        <v>31</v>
      </c>
      <c r="AK38" s="119">
        <v>6</v>
      </c>
      <c r="AL38" s="119">
        <v>327</v>
      </c>
      <c r="AM38" s="119">
        <f t="shared" si="45"/>
        <v>267</v>
      </c>
      <c r="AN38" s="119">
        <v>11</v>
      </c>
      <c r="AO38" s="119">
        <v>61</v>
      </c>
      <c r="AP38" s="119">
        <v>14</v>
      </c>
      <c r="AQ38" s="119">
        <v>181</v>
      </c>
      <c r="AS38"/>
      <c r="AT38"/>
      <c r="AU38"/>
      <c r="AV38"/>
      <c r="AW38"/>
    </row>
    <row r="39" spans="1:49">
      <c r="A39" s="6" t="s">
        <v>32</v>
      </c>
      <c r="B39" s="122">
        <f>+K39+S39+AK39</f>
        <v>133.04</v>
      </c>
      <c r="C39" s="229">
        <f>+L39+T39+AL39</f>
        <v>4065</v>
      </c>
      <c r="D39" s="229">
        <f>E39+F39+G39+H39</f>
        <v>3626</v>
      </c>
      <c r="E39" s="229">
        <f t="shared" si="54"/>
        <v>451</v>
      </c>
      <c r="F39" s="229">
        <f t="shared" si="54"/>
        <v>375</v>
      </c>
      <c r="G39" s="229">
        <f t="shared" si="54"/>
        <v>27</v>
      </c>
      <c r="H39" s="229">
        <f t="shared" si="54"/>
        <v>2773</v>
      </c>
      <c r="J39" s="6" t="s">
        <v>32</v>
      </c>
      <c r="K39" s="122">
        <v>82.5</v>
      </c>
      <c r="L39" s="229">
        <v>2372</v>
      </c>
      <c r="M39" s="229">
        <f>N39+O39+P39+Q39</f>
        <v>2086</v>
      </c>
      <c r="N39" s="229">
        <v>323</v>
      </c>
      <c r="O39" s="229">
        <v>321</v>
      </c>
      <c r="P39" s="229">
        <v>21</v>
      </c>
      <c r="Q39" s="229">
        <v>1421</v>
      </c>
      <c r="R39" s="6" t="s">
        <v>32</v>
      </c>
      <c r="S39" s="229">
        <v>50.54</v>
      </c>
      <c r="T39" s="229">
        <v>1693</v>
      </c>
      <c r="U39" s="229">
        <f>V39+W39+X39+Y39</f>
        <v>1540</v>
      </c>
      <c r="V39" s="229">
        <v>128</v>
      </c>
      <c r="W39" s="229">
        <v>54</v>
      </c>
      <c r="X39" s="229">
        <v>6</v>
      </c>
      <c r="Y39" s="229">
        <v>1352</v>
      </c>
      <c r="Z39" s="67"/>
      <c r="AA39" s="68" t="s">
        <v>32</v>
      </c>
      <c r="AB39" s="122"/>
      <c r="AC39" s="229"/>
      <c r="AD39" s="391">
        <f>AE39+AF39+AG39+AH39</f>
        <v>0</v>
      </c>
      <c r="AE39" s="229">
        <v>0</v>
      </c>
      <c r="AF39" s="229">
        <v>0</v>
      </c>
      <c r="AG39" s="229">
        <v>0</v>
      </c>
      <c r="AH39" s="229"/>
      <c r="AJ39" s="6" t="s">
        <v>32</v>
      </c>
      <c r="AK39" s="123"/>
      <c r="AL39" s="229"/>
      <c r="AM39" s="391">
        <f t="shared" si="45"/>
        <v>0</v>
      </c>
      <c r="AN39" s="229"/>
      <c r="AO39" s="229"/>
      <c r="AP39" s="229"/>
      <c r="AQ39" s="229"/>
    </row>
    <row r="40" spans="1:49">
      <c r="A40" s="6" t="s">
        <v>12</v>
      </c>
      <c r="B40" s="51">
        <f t="shared" ref="B40:H40" si="55">B39/B38*100</f>
        <v>92.132963988919684</v>
      </c>
      <c r="C40" s="51">
        <f t="shared" si="55"/>
        <v>65.395752895752906</v>
      </c>
      <c r="D40" s="51">
        <f t="shared" si="55"/>
        <v>70.353123787349631</v>
      </c>
      <c r="E40" s="51">
        <f t="shared" si="55"/>
        <v>77.094017094017104</v>
      </c>
      <c r="F40" s="51">
        <f t="shared" si="55"/>
        <v>21.701388888888889</v>
      </c>
      <c r="G40" s="51">
        <f t="shared" si="55"/>
        <v>10.150375939849624</v>
      </c>
      <c r="H40" s="51">
        <f t="shared" si="55"/>
        <v>107.6893203883495</v>
      </c>
      <c r="I40" s="21"/>
      <c r="J40" s="6" t="s">
        <v>12</v>
      </c>
      <c r="K40" s="51">
        <f t="shared" ref="K40:Q40" si="56">K39/K38*100</f>
        <v>91.059602649006635</v>
      </c>
      <c r="L40" s="51">
        <f t="shared" si="56"/>
        <v>78.569062603511099</v>
      </c>
      <c r="M40" s="51">
        <f t="shared" si="56"/>
        <v>83.977455716586149</v>
      </c>
      <c r="N40" s="51">
        <f t="shared" si="56"/>
        <v>211.11111111111111</v>
      </c>
      <c r="O40" s="51">
        <f t="shared" si="56"/>
        <v>29.639889196675899</v>
      </c>
      <c r="P40" s="51">
        <f t="shared" si="56"/>
        <v>14.685314685314685</v>
      </c>
      <c r="Q40" s="51">
        <f t="shared" si="56"/>
        <v>128.59728506787332</v>
      </c>
      <c r="R40" s="6" t="s">
        <v>12</v>
      </c>
      <c r="S40" s="51">
        <f t="shared" ref="S40:Y40" si="57">S39/S38*100</f>
        <v>105.73221757322176</v>
      </c>
      <c r="T40" s="51">
        <f t="shared" si="57"/>
        <v>58.98954703832753</v>
      </c>
      <c r="U40" s="51">
        <f t="shared" si="57"/>
        <v>64.086558468580947</v>
      </c>
      <c r="V40" s="51">
        <f t="shared" si="57"/>
        <v>30.403800475059384</v>
      </c>
      <c r="W40" s="51">
        <f t="shared" si="57"/>
        <v>9.2465753424657535</v>
      </c>
      <c r="X40" s="51">
        <f t="shared" si="57"/>
        <v>5.5045871559633035</v>
      </c>
      <c r="Y40" s="51">
        <f t="shared" si="57"/>
        <v>104.88750969743987</v>
      </c>
      <c r="Z40" s="72"/>
      <c r="AA40" s="68" t="s">
        <v>12</v>
      </c>
      <c r="AB40" s="51">
        <f t="shared" ref="AB40:AH40" si="58">AB39/AB38*100</f>
        <v>0</v>
      </c>
      <c r="AC40" s="51">
        <f t="shared" si="58"/>
        <v>0</v>
      </c>
      <c r="AD40" s="51">
        <f t="shared" si="58"/>
        <v>0</v>
      </c>
      <c r="AE40" s="51">
        <f t="shared" si="58"/>
        <v>0</v>
      </c>
      <c r="AF40" s="51">
        <f t="shared" si="58"/>
        <v>0</v>
      </c>
      <c r="AG40" s="51">
        <f t="shared" si="58"/>
        <v>0</v>
      </c>
      <c r="AH40" s="51">
        <f t="shared" si="58"/>
        <v>0</v>
      </c>
      <c r="AI40" s="21"/>
      <c r="AJ40" s="6" t="s">
        <v>12</v>
      </c>
      <c r="AK40" s="51">
        <f t="shared" ref="AK40:AQ40" si="59">AK39/AK38*100</f>
        <v>0</v>
      </c>
      <c r="AL40" s="51">
        <f t="shared" si="59"/>
        <v>0</v>
      </c>
      <c r="AM40" s="51">
        <f t="shared" si="59"/>
        <v>0</v>
      </c>
      <c r="AN40" s="51">
        <f t="shared" si="59"/>
        <v>0</v>
      </c>
      <c r="AO40" s="51">
        <f t="shared" si="59"/>
        <v>0</v>
      </c>
      <c r="AP40" s="51">
        <f t="shared" si="59"/>
        <v>0</v>
      </c>
      <c r="AQ40" s="51">
        <f t="shared" si="59"/>
        <v>0</v>
      </c>
    </row>
    <row r="42" spans="1:49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9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9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9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9">
      <c r="A46" s="82" t="s">
        <v>40</v>
      </c>
      <c r="B46" s="83">
        <f t="shared" ref="B46:H47" si="60">K9+S9+AK9</f>
        <v>714.80000000000007</v>
      </c>
      <c r="C46" s="83">
        <f t="shared" si="60"/>
        <v>31574</v>
      </c>
      <c r="D46" s="83">
        <f t="shared" si="60"/>
        <v>27450</v>
      </c>
      <c r="E46" s="83">
        <f t="shared" si="60"/>
        <v>1311</v>
      </c>
      <c r="F46" s="83">
        <f t="shared" si="60"/>
        <v>6469</v>
      </c>
      <c r="G46" s="83">
        <f t="shared" si="60"/>
        <v>984</v>
      </c>
      <c r="H46" s="83">
        <f t="shared" si="60"/>
        <v>18686</v>
      </c>
    </row>
    <row r="47" spans="1:49">
      <c r="A47" s="84" t="s">
        <v>50</v>
      </c>
      <c r="B47" s="83">
        <f t="shared" si="60"/>
        <v>914.24999999999989</v>
      </c>
      <c r="C47" s="83">
        <f t="shared" si="60"/>
        <v>29006</v>
      </c>
      <c r="D47" s="83">
        <f t="shared" si="60"/>
        <v>26065</v>
      </c>
      <c r="E47" s="83">
        <f t="shared" si="60"/>
        <v>2656</v>
      </c>
      <c r="F47" s="83">
        <f t="shared" si="60"/>
        <v>2065</v>
      </c>
      <c r="G47" s="83">
        <f t="shared" si="60"/>
        <v>212</v>
      </c>
      <c r="H47" s="83">
        <f t="shared" si="60"/>
        <v>21132</v>
      </c>
    </row>
    <row r="48" spans="1:49">
      <c r="A48" s="85" t="s">
        <v>44</v>
      </c>
      <c r="B48" s="86">
        <f>B47/B46*100</f>
        <v>127.90290990486845</v>
      </c>
      <c r="C48" s="86">
        <f t="shared" ref="C48:H48" si="61">C47/C46*100</f>
        <v>91.866725787039968</v>
      </c>
      <c r="D48" s="86">
        <f t="shared" si="61"/>
        <v>94.954462659380695</v>
      </c>
      <c r="E48" s="86">
        <f t="shared" si="61"/>
        <v>202.59344012204426</v>
      </c>
      <c r="F48" s="86">
        <f t="shared" si="61"/>
        <v>31.921471633946513</v>
      </c>
      <c r="G48" s="86">
        <f t="shared" si="61"/>
        <v>21.544715447154474</v>
      </c>
      <c r="H48" s="86">
        <f t="shared" si="61"/>
        <v>113.09001391416034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2">K13+S13+AK13</f>
        <v>19.3</v>
      </c>
      <c r="C50" s="90">
        <f t="shared" si="62"/>
        <v>1335</v>
      </c>
      <c r="D50" s="90">
        <f t="shared" si="62"/>
        <v>975</v>
      </c>
      <c r="E50" s="90">
        <f t="shared" si="62"/>
        <v>183</v>
      </c>
      <c r="F50" s="90">
        <f t="shared" si="62"/>
        <v>403</v>
      </c>
      <c r="G50" s="90">
        <f t="shared" si="62"/>
        <v>72</v>
      </c>
      <c r="H50" s="90">
        <f t="shared" si="62"/>
        <v>317</v>
      </c>
    </row>
    <row r="51" spans="1:8">
      <c r="A51" s="75" t="s">
        <v>50</v>
      </c>
      <c r="B51" s="90">
        <f t="shared" si="62"/>
        <v>14</v>
      </c>
      <c r="C51" s="90">
        <f t="shared" si="62"/>
        <v>929</v>
      </c>
      <c r="D51" s="90">
        <f t="shared" si="62"/>
        <v>762</v>
      </c>
      <c r="E51" s="90">
        <f t="shared" si="62"/>
        <v>49</v>
      </c>
      <c r="F51" s="90">
        <f t="shared" si="62"/>
        <v>38</v>
      </c>
      <c r="G51" s="90">
        <f t="shared" si="62"/>
        <v>0</v>
      </c>
      <c r="H51" s="90">
        <f t="shared" si="62"/>
        <v>675</v>
      </c>
    </row>
    <row r="52" spans="1:8">
      <c r="A52" s="75" t="s">
        <v>44</v>
      </c>
      <c r="B52" s="91">
        <f t="shared" ref="B52:H52" si="63">B51/B50*100</f>
        <v>72.538860103626945</v>
      </c>
      <c r="C52" s="91">
        <f t="shared" si="63"/>
        <v>69.588014981273403</v>
      </c>
      <c r="D52" s="91">
        <f t="shared" si="63"/>
        <v>78.153846153846146</v>
      </c>
      <c r="E52" s="91">
        <f t="shared" si="63"/>
        <v>26.775956284153008</v>
      </c>
      <c r="F52" s="91">
        <f t="shared" si="63"/>
        <v>9.4292803970223318</v>
      </c>
      <c r="G52" s="91">
        <f t="shared" si="63"/>
        <v>0</v>
      </c>
      <c r="H52" s="91">
        <f t="shared" si="63"/>
        <v>212.93375394321768</v>
      </c>
    </row>
    <row r="53" spans="1:8">
      <c r="A53" s="75" t="s">
        <v>13</v>
      </c>
      <c r="B53" s="90">
        <f t="shared" ref="B53:H55" si="64">K16+S16+AK16</f>
        <v>2.65</v>
      </c>
      <c r="C53" s="90">
        <f t="shared" si="64"/>
        <v>98</v>
      </c>
      <c r="D53" s="90">
        <f t="shared" si="64"/>
        <v>88</v>
      </c>
      <c r="E53" s="90">
        <f t="shared" si="64"/>
        <v>0</v>
      </c>
      <c r="F53" s="90">
        <f t="shared" si="64"/>
        <v>4</v>
      </c>
      <c r="G53" s="90">
        <f t="shared" si="64"/>
        <v>0</v>
      </c>
      <c r="H53" s="90">
        <f t="shared" si="64"/>
        <v>84</v>
      </c>
    </row>
    <row r="54" spans="1:8">
      <c r="A54" s="92" t="s">
        <v>14</v>
      </c>
      <c r="B54" s="90">
        <f t="shared" si="64"/>
        <v>0</v>
      </c>
      <c r="C54" s="90">
        <f t="shared" si="64"/>
        <v>0</v>
      </c>
      <c r="D54" s="90">
        <f t="shared" si="64"/>
        <v>0</v>
      </c>
      <c r="E54" s="90">
        <f t="shared" si="64"/>
        <v>0</v>
      </c>
      <c r="F54" s="90">
        <f t="shared" si="64"/>
        <v>0</v>
      </c>
      <c r="G54" s="90">
        <f t="shared" si="64"/>
        <v>0</v>
      </c>
      <c r="H54" s="90">
        <f t="shared" si="64"/>
        <v>0</v>
      </c>
    </row>
    <row r="55" spans="1:8">
      <c r="A55" s="75" t="s">
        <v>15</v>
      </c>
      <c r="B55" s="90">
        <f t="shared" si="64"/>
        <v>0</v>
      </c>
      <c r="C55" s="90">
        <f t="shared" si="64"/>
        <v>0</v>
      </c>
      <c r="D55" s="90">
        <f t="shared" si="64"/>
        <v>0</v>
      </c>
      <c r="E55" s="90">
        <f t="shared" si="64"/>
        <v>0</v>
      </c>
      <c r="F55" s="90">
        <f t="shared" si="64"/>
        <v>0</v>
      </c>
      <c r="G55" s="90">
        <f t="shared" si="64"/>
        <v>0</v>
      </c>
      <c r="H55" s="90">
        <f t="shared" si="6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5">K20+S20+AK20</f>
        <v>695.5</v>
      </c>
      <c r="C57" s="90">
        <f t="shared" si="65"/>
        <v>30239</v>
      </c>
      <c r="D57" s="90">
        <f t="shared" si="65"/>
        <v>26475</v>
      </c>
      <c r="E57" s="90">
        <f t="shared" si="65"/>
        <v>1128</v>
      </c>
      <c r="F57" s="90">
        <f t="shared" si="65"/>
        <v>6066</v>
      </c>
      <c r="G57" s="90">
        <f t="shared" si="65"/>
        <v>912</v>
      </c>
      <c r="H57" s="90">
        <f t="shared" si="65"/>
        <v>18369</v>
      </c>
    </row>
    <row r="58" spans="1:8">
      <c r="A58" s="92" t="s">
        <v>50</v>
      </c>
      <c r="B58" s="90">
        <f t="shared" si="65"/>
        <v>900.24999999999989</v>
      </c>
      <c r="C58" s="90">
        <f t="shared" si="65"/>
        <v>28077</v>
      </c>
      <c r="D58" s="90">
        <f t="shared" si="65"/>
        <v>25303</v>
      </c>
      <c r="E58" s="90">
        <f t="shared" si="65"/>
        <v>2607</v>
      </c>
      <c r="F58" s="90">
        <f t="shared" si="65"/>
        <v>2027</v>
      </c>
      <c r="G58" s="90">
        <f t="shared" si="65"/>
        <v>212</v>
      </c>
      <c r="H58" s="90">
        <f t="shared" si="65"/>
        <v>20457</v>
      </c>
    </row>
    <row r="59" spans="1:8">
      <c r="A59" s="75" t="s">
        <v>44</v>
      </c>
      <c r="B59" s="91">
        <f t="shared" ref="B59:H59" si="66">B58/B57*100</f>
        <v>129.43925233644856</v>
      </c>
      <c r="C59" s="91">
        <f t="shared" si="66"/>
        <v>92.850292668408358</v>
      </c>
      <c r="D59" s="91">
        <f t="shared" si="66"/>
        <v>95.57318224740321</v>
      </c>
      <c r="E59" s="91">
        <f t="shared" si="66"/>
        <v>231.11702127659575</v>
      </c>
      <c r="F59" s="91">
        <f t="shared" si="66"/>
        <v>33.41575997362348</v>
      </c>
      <c r="G59" s="91">
        <f t="shared" si="66"/>
        <v>23.245614035087719</v>
      </c>
      <c r="H59" s="91">
        <f t="shared" si="66"/>
        <v>111.36697697207252</v>
      </c>
    </row>
    <row r="60" spans="1:8">
      <c r="A60" s="75" t="s">
        <v>21</v>
      </c>
      <c r="B60" s="90">
        <f t="shared" ref="B60:H61" si="67">K23+S23+AK23</f>
        <v>0.5</v>
      </c>
      <c r="C60" s="90">
        <f t="shared" si="67"/>
        <v>62</v>
      </c>
      <c r="D60" s="90">
        <f t="shared" si="67"/>
        <v>52</v>
      </c>
      <c r="E60" s="90">
        <f t="shared" si="67"/>
        <v>6</v>
      </c>
      <c r="F60" s="90">
        <f t="shared" si="67"/>
        <v>13</v>
      </c>
      <c r="G60" s="90">
        <f t="shared" si="67"/>
        <v>1</v>
      </c>
      <c r="H60" s="90">
        <f t="shared" si="67"/>
        <v>32</v>
      </c>
    </row>
    <row r="61" spans="1:8">
      <c r="A61" s="75" t="s">
        <v>51</v>
      </c>
      <c r="B61" s="90">
        <f t="shared" si="67"/>
        <v>0</v>
      </c>
      <c r="C61" s="90">
        <f t="shared" si="67"/>
        <v>0</v>
      </c>
      <c r="D61" s="90">
        <f t="shared" si="67"/>
        <v>0</v>
      </c>
      <c r="E61" s="90">
        <f t="shared" si="67"/>
        <v>0</v>
      </c>
      <c r="F61" s="90">
        <f t="shared" si="67"/>
        <v>0</v>
      </c>
      <c r="G61" s="90">
        <f t="shared" si="67"/>
        <v>0</v>
      </c>
      <c r="H61" s="90">
        <f t="shared" si="67"/>
        <v>0</v>
      </c>
    </row>
    <row r="62" spans="1:8">
      <c r="A62" s="75" t="s">
        <v>12</v>
      </c>
      <c r="B62" s="91">
        <f t="shared" ref="B62:H62" si="68">B61/B60*100</f>
        <v>0</v>
      </c>
      <c r="C62" s="91">
        <f t="shared" si="68"/>
        <v>0</v>
      </c>
      <c r="D62" s="91">
        <f t="shared" si="68"/>
        <v>0</v>
      </c>
      <c r="E62" s="91">
        <f t="shared" si="68"/>
        <v>0</v>
      </c>
      <c r="F62" s="91">
        <f t="shared" si="68"/>
        <v>0</v>
      </c>
      <c r="G62" s="91">
        <f t="shared" si="68"/>
        <v>0</v>
      </c>
      <c r="H62" s="91">
        <f t="shared" si="68"/>
        <v>0</v>
      </c>
    </row>
    <row r="63" spans="1:8">
      <c r="A63" s="75" t="s">
        <v>23</v>
      </c>
      <c r="B63" s="90">
        <f t="shared" ref="B63:H64" si="69">K26+S26+AK26</f>
        <v>142.5</v>
      </c>
      <c r="C63" s="90">
        <f t="shared" si="69"/>
        <v>4899</v>
      </c>
      <c r="D63" s="90">
        <f t="shared" si="69"/>
        <v>4362</v>
      </c>
      <c r="E63" s="90">
        <f t="shared" si="69"/>
        <v>58</v>
      </c>
      <c r="F63" s="90">
        <f t="shared" si="69"/>
        <v>862</v>
      </c>
      <c r="G63" s="90">
        <f t="shared" si="69"/>
        <v>196</v>
      </c>
      <c r="H63" s="90">
        <f t="shared" si="69"/>
        <v>3246</v>
      </c>
    </row>
    <row r="64" spans="1:8">
      <c r="A64" s="75" t="s">
        <v>45</v>
      </c>
      <c r="B64" s="90">
        <f t="shared" si="69"/>
        <v>185.245</v>
      </c>
      <c r="C64" s="90">
        <f t="shared" si="69"/>
        <v>3015</v>
      </c>
      <c r="D64" s="90">
        <f t="shared" si="69"/>
        <v>2775</v>
      </c>
      <c r="E64" s="90">
        <f t="shared" si="69"/>
        <v>168</v>
      </c>
      <c r="F64" s="90">
        <f t="shared" si="69"/>
        <v>322</v>
      </c>
      <c r="G64" s="90">
        <f t="shared" si="69"/>
        <v>40</v>
      </c>
      <c r="H64" s="90">
        <f t="shared" si="69"/>
        <v>2245</v>
      </c>
    </row>
    <row r="65" spans="1:8">
      <c r="A65" s="75" t="s">
        <v>12</v>
      </c>
      <c r="B65" s="91">
        <f t="shared" ref="B65:H65" si="70">B64/B63*100</f>
        <v>129.99649122807017</v>
      </c>
      <c r="C65" s="91">
        <f t="shared" si="70"/>
        <v>61.54317207593386</v>
      </c>
      <c r="D65" s="91">
        <f t="shared" si="70"/>
        <v>63.617606602475931</v>
      </c>
      <c r="E65" s="91">
        <f t="shared" si="70"/>
        <v>289.65517241379308</v>
      </c>
      <c r="F65" s="91">
        <f t="shared" si="70"/>
        <v>37.354988399071928</v>
      </c>
      <c r="G65" s="91">
        <f t="shared" si="70"/>
        <v>20.408163265306122</v>
      </c>
      <c r="H65" s="91">
        <f t="shared" si="70"/>
        <v>69.162045594577933</v>
      </c>
    </row>
    <row r="66" spans="1:8">
      <c r="A66" s="75" t="s">
        <v>25</v>
      </c>
      <c r="B66" s="90">
        <f t="shared" ref="B66:H67" si="71">K29+S29+AK29</f>
        <v>372</v>
      </c>
      <c r="C66" s="90">
        <f t="shared" si="71"/>
        <v>16246</v>
      </c>
      <c r="D66" s="90">
        <f t="shared" si="71"/>
        <v>14404</v>
      </c>
      <c r="E66" s="90">
        <f t="shared" si="71"/>
        <v>472</v>
      </c>
      <c r="F66" s="90">
        <f t="shared" si="71"/>
        <v>2781</v>
      </c>
      <c r="G66" s="90">
        <f t="shared" si="71"/>
        <v>233</v>
      </c>
      <c r="H66" s="90">
        <f t="shared" si="71"/>
        <v>10918</v>
      </c>
    </row>
    <row r="67" spans="1:8">
      <c r="A67" s="75" t="s">
        <v>46</v>
      </c>
      <c r="B67" s="90">
        <f t="shared" si="71"/>
        <v>546.41999999999996</v>
      </c>
      <c r="C67" s="90">
        <f t="shared" si="71"/>
        <v>17976</v>
      </c>
      <c r="D67" s="90">
        <f t="shared" si="71"/>
        <v>16260</v>
      </c>
      <c r="E67" s="90">
        <f t="shared" si="71"/>
        <v>1983</v>
      </c>
      <c r="F67" s="90">
        <f t="shared" si="71"/>
        <v>1159</v>
      </c>
      <c r="G67" s="90">
        <f t="shared" si="71"/>
        <v>81</v>
      </c>
      <c r="H67" s="90">
        <f t="shared" si="71"/>
        <v>13037</v>
      </c>
    </row>
    <row r="68" spans="1:8">
      <c r="A68" s="75" t="s">
        <v>12</v>
      </c>
      <c r="B68" s="91">
        <f t="shared" ref="B68:H68" si="72">B67/B66*100</f>
        <v>146.88709677419354</v>
      </c>
      <c r="C68" s="91">
        <f t="shared" si="72"/>
        <v>110.64877508309738</v>
      </c>
      <c r="D68" s="91">
        <f t="shared" si="72"/>
        <v>112.88530963621217</v>
      </c>
      <c r="E68" s="91">
        <f t="shared" si="72"/>
        <v>420.12711864406782</v>
      </c>
      <c r="F68" s="91">
        <f t="shared" si="72"/>
        <v>41.67565623876304</v>
      </c>
      <c r="G68" s="91">
        <f t="shared" si="72"/>
        <v>34.763948497854074</v>
      </c>
      <c r="H68" s="91">
        <f t="shared" si="72"/>
        <v>119.4083165414911</v>
      </c>
    </row>
    <row r="69" spans="1:8">
      <c r="A69" s="75" t="s">
        <v>27</v>
      </c>
      <c r="B69" s="90">
        <f t="shared" ref="B69:H70" si="73">K32+S32+AK32</f>
        <v>0</v>
      </c>
      <c r="C69" s="90">
        <f t="shared" si="73"/>
        <v>0</v>
      </c>
      <c r="D69" s="90">
        <f t="shared" si="73"/>
        <v>0</v>
      </c>
      <c r="E69" s="90">
        <f t="shared" si="73"/>
        <v>0</v>
      </c>
      <c r="F69" s="90">
        <f t="shared" si="73"/>
        <v>0</v>
      </c>
      <c r="G69" s="90">
        <f t="shared" si="73"/>
        <v>0</v>
      </c>
      <c r="H69" s="90">
        <f t="shared" si="73"/>
        <v>0</v>
      </c>
    </row>
    <row r="70" spans="1:8">
      <c r="A70" s="75" t="s">
        <v>47</v>
      </c>
      <c r="B70" s="90">
        <f t="shared" si="73"/>
        <v>0.69</v>
      </c>
      <c r="C70" s="90">
        <f t="shared" si="73"/>
        <v>0</v>
      </c>
      <c r="D70" s="90">
        <f t="shared" si="73"/>
        <v>0</v>
      </c>
      <c r="E70" s="90">
        <f t="shared" si="73"/>
        <v>0</v>
      </c>
      <c r="F70" s="90">
        <f t="shared" si="73"/>
        <v>0</v>
      </c>
      <c r="G70" s="90">
        <f t="shared" si="73"/>
        <v>0</v>
      </c>
      <c r="H70" s="90">
        <f t="shared" si="73"/>
        <v>0</v>
      </c>
    </row>
    <row r="71" spans="1:8">
      <c r="A71" s="75" t="s">
        <v>12</v>
      </c>
      <c r="B71" s="91" t="e">
        <f t="shared" ref="B71:H71" si="74">B70/B69*100</f>
        <v>#DIV/0!</v>
      </c>
      <c r="C71" s="91" t="e">
        <f t="shared" si="74"/>
        <v>#DIV/0!</v>
      </c>
      <c r="D71" s="91" t="e">
        <f t="shared" si="74"/>
        <v>#DIV/0!</v>
      </c>
      <c r="E71" s="91" t="e">
        <f t="shared" si="74"/>
        <v>#DIV/0!</v>
      </c>
      <c r="F71" s="91" t="e">
        <f t="shared" si="74"/>
        <v>#DIV/0!</v>
      </c>
      <c r="G71" s="91" t="e">
        <f t="shared" si="74"/>
        <v>#DIV/0!</v>
      </c>
      <c r="H71" s="91" t="e">
        <f t="shared" si="74"/>
        <v>#DIV/0!</v>
      </c>
    </row>
    <row r="72" spans="1:8">
      <c r="A72" s="75" t="s">
        <v>29</v>
      </c>
      <c r="B72" s="90">
        <f t="shared" ref="B72:H73" si="75">K35+S35+AK35</f>
        <v>36.1</v>
      </c>
      <c r="C72" s="90">
        <f t="shared" si="75"/>
        <v>2816</v>
      </c>
      <c r="D72" s="90">
        <f t="shared" si="75"/>
        <v>2503</v>
      </c>
      <c r="E72" s="90">
        <f t="shared" si="75"/>
        <v>7</v>
      </c>
      <c r="F72" s="90">
        <f t="shared" si="75"/>
        <v>682</v>
      </c>
      <c r="G72" s="90">
        <f t="shared" si="75"/>
        <v>216</v>
      </c>
      <c r="H72" s="90">
        <f t="shared" si="75"/>
        <v>1598</v>
      </c>
    </row>
    <row r="73" spans="1:8">
      <c r="A73" s="75" t="s">
        <v>48</v>
      </c>
      <c r="B73" s="90">
        <f t="shared" si="75"/>
        <v>34.855000000000004</v>
      </c>
      <c r="C73" s="90">
        <f t="shared" si="75"/>
        <v>3021</v>
      </c>
      <c r="D73" s="90">
        <f t="shared" si="75"/>
        <v>2642</v>
      </c>
      <c r="E73" s="90">
        <f t="shared" si="75"/>
        <v>5</v>
      </c>
      <c r="F73" s="90">
        <f t="shared" si="75"/>
        <v>171</v>
      </c>
      <c r="G73" s="90">
        <f t="shared" si="75"/>
        <v>64</v>
      </c>
      <c r="H73" s="90">
        <f t="shared" si="75"/>
        <v>2402</v>
      </c>
    </row>
    <row r="74" spans="1:8">
      <c r="A74" s="75" t="s">
        <v>12</v>
      </c>
      <c r="B74" s="91">
        <f t="shared" ref="B74:H74" si="76">B73/B72*100</f>
        <v>96.551246537396125</v>
      </c>
      <c r="C74" s="91">
        <f t="shared" si="76"/>
        <v>107.27982954545455</v>
      </c>
      <c r="D74" s="91">
        <f t="shared" si="76"/>
        <v>105.55333599680384</v>
      </c>
      <c r="E74" s="91">
        <f t="shared" si="76"/>
        <v>71.428571428571431</v>
      </c>
      <c r="F74" s="91">
        <f t="shared" si="76"/>
        <v>25.073313782991203</v>
      </c>
      <c r="G74" s="91">
        <f t="shared" si="76"/>
        <v>29.629629629629626</v>
      </c>
      <c r="H74" s="91">
        <f t="shared" si="76"/>
        <v>150.31289111389236</v>
      </c>
    </row>
    <row r="75" spans="1:8">
      <c r="A75" s="75" t="s">
        <v>31</v>
      </c>
      <c r="B75" s="90">
        <f t="shared" ref="B75:H76" si="77">K38+S38+AK38</f>
        <v>144.39999999999998</v>
      </c>
      <c r="C75" s="90">
        <f t="shared" si="77"/>
        <v>6216</v>
      </c>
      <c r="D75" s="90">
        <f t="shared" si="77"/>
        <v>5154</v>
      </c>
      <c r="E75" s="90">
        <f t="shared" si="77"/>
        <v>585</v>
      </c>
      <c r="F75" s="90">
        <f t="shared" si="77"/>
        <v>1728</v>
      </c>
      <c r="G75" s="90">
        <f t="shared" si="77"/>
        <v>266</v>
      </c>
      <c r="H75" s="90">
        <f t="shared" si="77"/>
        <v>2575</v>
      </c>
    </row>
    <row r="76" spans="1:8">
      <c r="A76" s="75" t="s">
        <v>52</v>
      </c>
      <c r="B76" s="90">
        <f t="shared" si="77"/>
        <v>133.04</v>
      </c>
      <c r="C76" s="90">
        <f t="shared" si="77"/>
        <v>4065</v>
      </c>
      <c r="D76" s="90">
        <f t="shared" si="77"/>
        <v>3626</v>
      </c>
      <c r="E76" s="90">
        <f t="shared" si="77"/>
        <v>451</v>
      </c>
      <c r="F76" s="90">
        <f t="shared" si="77"/>
        <v>375</v>
      </c>
      <c r="G76" s="90">
        <f t="shared" si="77"/>
        <v>27</v>
      </c>
      <c r="H76" s="90">
        <f t="shared" si="77"/>
        <v>2773</v>
      </c>
    </row>
    <row r="77" spans="1:8">
      <c r="A77" s="75" t="s">
        <v>12</v>
      </c>
      <c r="B77" s="91">
        <f t="shared" ref="B77:H77" si="78">B76/B75*100</f>
        <v>92.132963988919684</v>
      </c>
      <c r="C77" s="91">
        <f t="shared" si="78"/>
        <v>65.395752895752906</v>
      </c>
      <c r="D77" s="91">
        <f t="shared" si="78"/>
        <v>70.353123787349631</v>
      </c>
      <c r="E77" s="91">
        <f t="shared" si="78"/>
        <v>77.094017094017104</v>
      </c>
      <c r="F77" s="91">
        <f t="shared" si="78"/>
        <v>21.701388888888889</v>
      </c>
      <c r="G77" s="91">
        <f t="shared" si="78"/>
        <v>10.150375939849624</v>
      </c>
      <c r="H77" s="91">
        <f t="shared" si="78"/>
        <v>107.6893203883495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79">B9-B46</f>
        <v>0</v>
      </c>
      <c r="C83" s="83">
        <f t="shared" si="79"/>
        <v>0</v>
      </c>
      <c r="D83" s="83">
        <f t="shared" si="79"/>
        <v>0</v>
      </c>
      <c r="E83" s="83">
        <f t="shared" si="79"/>
        <v>0</v>
      </c>
      <c r="F83" s="83">
        <f t="shared" si="79"/>
        <v>0</v>
      </c>
      <c r="G83" s="83">
        <f t="shared" si="79"/>
        <v>0</v>
      </c>
      <c r="H83" s="83">
        <f t="shared" si="79"/>
        <v>0</v>
      </c>
    </row>
    <row r="84" spans="1:8">
      <c r="A84" s="84" t="s">
        <v>50</v>
      </c>
      <c r="B84" s="83">
        <f t="shared" si="79"/>
        <v>0</v>
      </c>
      <c r="C84" s="83">
        <f t="shared" si="79"/>
        <v>0</v>
      </c>
      <c r="D84" s="83">
        <f t="shared" si="79"/>
        <v>0</v>
      </c>
      <c r="E84" s="83">
        <f t="shared" si="79"/>
        <v>0</v>
      </c>
      <c r="F84" s="83">
        <f t="shared" si="79"/>
        <v>0</v>
      </c>
      <c r="G84" s="83">
        <f t="shared" si="79"/>
        <v>0</v>
      </c>
      <c r="H84" s="83">
        <f t="shared" si="79"/>
        <v>0</v>
      </c>
    </row>
    <row r="85" spans="1:8">
      <c r="A85" s="85" t="s">
        <v>44</v>
      </c>
      <c r="B85" s="83">
        <f t="shared" si="79"/>
        <v>0</v>
      </c>
      <c r="C85" s="83">
        <f t="shared" si="79"/>
        <v>0</v>
      </c>
      <c r="D85" s="83">
        <f t="shared" si="79"/>
        <v>0</v>
      </c>
      <c r="E85" s="83">
        <f t="shared" si="79"/>
        <v>0</v>
      </c>
      <c r="F85" s="83">
        <f t="shared" si="79"/>
        <v>0</v>
      </c>
      <c r="G85" s="83">
        <f t="shared" si="79"/>
        <v>0</v>
      </c>
      <c r="H85" s="83">
        <f t="shared" si="79"/>
        <v>0</v>
      </c>
    </row>
    <row r="86" spans="1:8">
      <c r="A86" s="87" t="s">
        <v>11</v>
      </c>
      <c r="B86" s="83">
        <f t="shared" si="79"/>
        <v>0</v>
      </c>
      <c r="C86" s="83">
        <f t="shared" si="79"/>
        <v>0</v>
      </c>
      <c r="D86" s="83">
        <f t="shared" si="79"/>
        <v>0</v>
      </c>
      <c r="E86" s="83">
        <f t="shared" si="79"/>
        <v>0</v>
      </c>
      <c r="F86" s="83">
        <f t="shared" si="79"/>
        <v>0</v>
      </c>
      <c r="G86" s="83">
        <f t="shared" si="79"/>
        <v>0</v>
      </c>
      <c r="H86" s="83">
        <f t="shared" si="79"/>
        <v>0</v>
      </c>
    </row>
    <row r="87" spans="1:8">
      <c r="A87" s="75" t="s">
        <v>40</v>
      </c>
      <c r="B87" s="83">
        <f t="shared" si="79"/>
        <v>0</v>
      </c>
      <c r="C87" s="83">
        <f t="shared" si="79"/>
        <v>0</v>
      </c>
      <c r="D87" s="83">
        <f t="shared" si="79"/>
        <v>0</v>
      </c>
      <c r="E87" s="83">
        <f t="shared" si="79"/>
        <v>0</v>
      </c>
      <c r="F87" s="83">
        <f t="shared" si="79"/>
        <v>0</v>
      </c>
      <c r="G87" s="83">
        <f t="shared" si="79"/>
        <v>0</v>
      </c>
      <c r="H87" s="83">
        <f t="shared" si="79"/>
        <v>0</v>
      </c>
    </row>
    <row r="88" spans="1:8">
      <c r="A88" s="75" t="s">
        <v>50</v>
      </c>
      <c r="B88" s="83">
        <f t="shared" si="79"/>
        <v>0</v>
      </c>
      <c r="C88" s="83">
        <f t="shared" si="79"/>
        <v>0</v>
      </c>
      <c r="D88" s="83">
        <f t="shared" si="79"/>
        <v>0</v>
      </c>
      <c r="E88" s="83">
        <f t="shared" si="79"/>
        <v>0</v>
      </c>
      <c r="F88" s="83">
        <f t="shared" si="79"/>
        <v>0</v>
      </c>
      <c r="G88" s="83">
        <f t="shared" si="79"/>
        <v>0</v>
      </c>
      <c r="H88" s="83">
        <f t="shared" si="79"/>
        <v>0</v>
      </c>
    </row>
    <row r="89" spans="1:8">
      <c r="A89" s="75" t="s">
        <v>44</v>
      </c>
      <c r="B89" s="83">
        <f t="shared" si="79"/>
        <v>0</v>
      </c>
      <c r="C89" s="83">
        <f t="shared" si="79"/>
        <v>0</v>
      </c>
      <c r="D89" s="83">
        <f t="shared" si="79"/>
        <v>0</v>
      </c>
      <c r="E89" s="83">
        <f t="shared" si="79"/>
        <v>0</v>
      </c>
      <c r="F89" s="83">
        <f t="shared" si="79"/>
        <v>0</v>
      </c>
      <c r="G89" s="83">
        <f t="shared" si="79"/>
        <v>0</v>
      </c>
      <c r="H89" s="83">
        <f t="shared" si="79"/>
        <v>0</v>
      </c>
    </row>
    <row r="90" spans="1:8">
      <c r="A90" s="75" t="s">
        <v>13</v>
      </c>
      <c r="B90" s="83">
        <f t="shared" si="79"/>
        <v>0</v>
      </c>
      <c r="C90" s="83">
        <f t="shared" si="79"/>
        <v>0</v>
      </c>
      <c r="D90" s="83">
        <f t="shared" si="79"/>
        <v>0</v>
      </c>
      <c r="E90" s="83">
        <f t="shared" si="79"/>
        <v>0</v>
      </c>
      <c r="F90" s="83">
        <f t="shared" si="79"/>
        <v>0</v>
      </c>
      <c r="G90" s="83">
        <f t="shared" si="79"/>
        <v>0</v>
      </c>
      <c r="H90" s="83">
        <f t="shared" si="79"/>
        <v>0</v>
      </c>
    </row>
    <row r="91" spans="1:8">
      <c r="A91" s="92" t="s">
        <v>14</v>
      </c>
      <c r="B91" s="83">
        <f t="shared" si="79"/>
        <v>0</v>
      </c>
      <c r="C91" s="83">
        <f t="shared" si="79"/>
        <v>0</v>
      </c>
      <c r="D91" s="83">
        <f t="shared" si="79"/>
        <v>0</v>
      </c>
      <c r="E91" s="83">
        <f t="shared" si="79"/>
        <v>0</v>
      </c>
      <c r="F91" s="83">
        <f t="shared" si="79"/>
        <v>0</v>
      </c>
      <c r="G91" s="83">
        <f t="shared" si="79"/>
        <v>0</v>
      </c>
      <c r="H91" s="83">
        <f t="shared" si="79"/>
        <v>0</v>
      </c>
    </row>
    <row r="92" spans="1:8">
      <c r="A92" s="75" t="s">
        <v>15</v>
      </c>
      <c r="B92" s="83">
        <f t="shared" si="79"/>
        <v>0</v>
      </c>
      <c r="C92" s="83">
        <f t="shared" si="79"/>
        <v>0</v>
      </c>
      <c r="D92" s="83">
        <f t="shared" si="79"/>
        <v>0</v>
      </c>
      <c r="E92" s="83">
        <f t="shared" si="79"/>
        <v>0</v>
      </c>
      <c r="F92" s="83">
        <f t="shared" si="79"/>
        <v>0</v>
      </c>
      <c r="G92" s="83">
        <f t="shared" si="79"/>
        <v>0</v>
      </c>
      <c r="H92" s="83">
        <f t="shared" si="79"/>
        <v>0</v>
      </c>
    </row>
    <row r="93" spans="1:8">
      <c r="A93" s="87" t="s">
        <v>16</v>
      </c>
      <c r="B93" s="83">
        <f t="shared" si="79"/>
        <v>0</v>
      </c>
      <c r="C93" s="83">
        <f t="shared" si="79"/>
        <v>0</v>
      </c>
      <c r="D93" s="83">
        <f t="shared" si="79"/>
        <v>0</v>
      </c>
      <c r="E93" s="83">
        <f t="shared" si="79"/>
        <v>0</v>
      </c>
      <c r="F93" s="83">
        <f t="shared" si="79"/>
        <v>0</v>
      </c>
      <c r="G93" s="83">
        <f t="shared" si="79"/>
        <v>0</v>
      </c>
      <c r="H93" s="83">
        <f t="shared" si="79"/>
        <v>0</v>
      </c>
    </row>
    <row r="94" spans="1:8">
      <c r="A94" s="75" t="s">
        <v>40</v>
      </c>
      <c r="B94" s="83">
        <f t="shared" si="79"/>
        <v>0</v>
      </c>
      <c r="C94" s="83">
        <f t="shared" si="79"/>
        <v>0</v>
      </c>
      <c r="D94" s="83">
        <f t="shared" si="79"/>
        <v>0</v>
      </c>
      <c r="E94" s="83">
        <f t="shared" si="79"/>
        <v>0</v>
      </c>
      <c r="F94" s="83">
        <f t="shared" si="79"/>
        <v>0</v>
      </c>
      <c r="G94" s="83">
        <f t="shared" si="79"/>
        <v>0</v>
      </c>
      <c r="H94" s="83">
        <f t="shared" si="79"/>
        <v>0</v>
      </c>
    </row>
    <row r="95" spans="1:8">
      <c r="A95" s="92" t="s">
        <v>50</v>
      </c>
      <c r="B95" s="83">
        <f t="shared" si="79"/>
        <v>0</v>
      </c>
      <c r="C95" s="83">
        <f t="shared" si="79"/>
        <v>0</v>
      </c>
      <c r="D95" s="83">
        <f t="shared" si="79"/>
        <v>0</v>
      </c>
      <c r="E95" s="83">
        <f t="shared" si="79"/>
        <v>0</v>
      </c>
      <c r="F95" s="83">
        <f t="shared" si="79"/>
        <v>0</v>
      </c>
      <c r="G95" s="83">
        <f t="shared" si="79"/>
        <v>0</v>
      </c>
      <c r="H95" s="83">
        <f t="shared" si="79"/>
        <v>0</v>
      </c>
    </row>
    <row r="96" spans="1:8">
      <c r="A96" s="75" t="s">
        <v>44</v>
      </c>
      <c r="B96" s="83">
        <f t="shared" si="79"/>
        <v>0</v>
      </c>
      <c r="C96" s="83">
        <f t="shared" si="79"/>
        <v>0</v>
      </c>
      <c r="D96" s="83">
        <f t="shared" si="79"/>
        <v>0</v>
      </c>
      <c r="E96" s="83">
        <f t="shared" si="79"/>
        <v>0</v>
      </c>
      <c r="F96" s="83">
        <f t="shared" si="79"/>
        <v>0</v>
      </c>
      <c r="G96" s="83">
        <f t="shared" si="79"/>
        <v>0</v>
      </c>
      <c r="H96" s="83">
        <f t="shared" si="79"/>
        <v>0</v>
      </c>
    </row>
    <row r="97" spans="1:8">
      <c r="A97" s="75" t="s">
        <v>21</v>
      </c>
      <c r="B97" s="83">
        <f t="shared" si="79"/>
        <v>0</v>
      </c>
      <c r="C97" s="83">
        <f t="shared" si="79"/>
        <v>0</v>
      </c>
      <c r="D97" s="83">
        <f t="shared" si="79"/>
        <v>0</v>
      </c>
      <c r="E97" s="83">
        <f t="shared" si="79"/>
        <v>0</v>
      </c>
      <c r="F97" s="83">
        <f t="shared" si="79"/>
        <v>0</v>
      </c>
      <c r="G97" s="83">
        <f t="shared" si="79"/>
        <v>0</v>
      </c>
      <c r="H97" s="83">
        <f t="shared" si="79"/>
        <v>0</v>
      </c>
    </row>
    <row r="98" spans="1:8">
      <c r="A98" s="75" t="s">
        <v>51</v>
      </c>
      <c r="B98" s="83">
        <f t="shared" si="79"/>
        <v>0</v>
      </c>
      <c r="C98" s="83">
        <f t="shared" si="79"/>
        <v>0</v>
      </c>
      <c r="D98" s="83">
        <f t="shared" si="79"/>
        <v>0</v>
      </c>
      <c r="E98" s="83">
        <f t="shared" si="79"/>
        <v>0</v>
      </c>
      <c r="F98" s="83">
        <f t="shared" si="79"/>
        <v>0</v>
      </c>
      <c r="G98" s="83">
        <f t="shared" si="79"/>
        <v>0</v>
      </c>
      <c r="H98" s="83">
        <f t="shared" si="79"/>
        <v>0</v>
      </c>
    </row>
    <row r="99" spans="1:8">
      <c r="A99" s="75" t="s">
        <v>12</v>
      </c>
      <c r="B99" s="83">
        <f t="shared" ref="B99:H114" si="80">B25-B62</f>
        <v>0</v>
      </c>
      <c r="C99" s="83">
        <f t="shared" si="80"/>
        <v>0</v>
      </c>
      <c r="D99" s="83">
        <f t="shared" si="80"/>
        <v>0</v>
      </c>
      <c r="E99" s="83">
        <f t="shared" si="80"/>
        <v>0</v>
      </c>
      <c r="F99" s="83">
        <f t="shared" si="80"/>
        <v>0</v>
      </c>
      <c r="G99" s="83">
        <f t="shared" si="80"/>
        <v>0</v>
      </c>
      <c r="H99" s="83">
        <f t="shared" si="80"/>
        <v>0</v>
      </c>
    </row>
    <row r="100" spans="1:8">
      <c r="A100" s="75" t="s">
        <v>23</v>
      </c>
      <c r="B100" s="83">
        <f t="shared" si="80"/>
        <v>0</v>
      </c>
      <c r="C100" s="83">
        <f t="shared" si="80"/>
        <v>0</v>
      </c>
      <c r="D100" s="83">
        <f t="shared" si="80"/>
        <v>0</v>
      </c>
      <c r="E100" s="83">
        <f t="shared" si="80"/>
        <v>0</v>
      </c>
      <c r="F100" s="83">
        <f t="shared" si="80"/>
        <v>0</v>
      </c>
      <c r="G100" s="83">
        <f t="shared" si="80"/>
        <v>0</v>
      </c>
      <c r="H100" s="83">
        <f t="shared" si="80"/>
        <v>0</v>
      </c>
    </row>
    <row r="101" spans="1:8">
      <c r="A101" s="75" t="s">
        <v>45</v>
      </c>
      <c r="B101" s="83">
        <f t="shared" si="80"/>
        <v>0</v>
      </c>
      <c r="C101" s="83">
        <f t="shared" si="80"/>
        <v>0</v>
      </c>
      <c r="D101" s="83">
        <f t="shared" si="80"/>
        <v>0</v>
      </c>
      <c r="E101" s="83">
        <f t="shared" si="80"/>
        <v>0</v>
      </c>
      <c r="F101" s="83">
        <f t="shared" si="80"/>
        <v>0</v>
      </c>
      <c r="G101" s="83">
        <f t="shared" si="80"/>
        <v>0</v>
      </c>
      <c r="H101" s="83">
        <f t="shared" si="80"/>
        <v>0</v>
      </c>
    </row>
    <row r="102" spans="1:8">
      <c r="A102" s="75" t="s">
        <v>12</v>
      </c>
      <c r="B102" s="83">
        <f t="shared" si="80"/>
        <v>0</v>
      </c>
      <c r="C102" s="83">
        <f t="shared" si="80"/>
        <v>0</v>
      </c>
      <c r="D102" s="83">
        <f t="shared" si="80"/>
        <v>0</v>
      </c>
      <c r="E102" s="83">
        <f t="shared" si="80"/>
        <v>0</v>
      </c>
      <c r="F102" s="83">
        <f t="shared" si="80"/>
        <v>0</v>
      </c>
      <c r="G102" s="83">
        <f t="shared" si="80"/>
        <v>0</v>
      </c>
      <c r="H102" s="83">
        <f t="shared" si="80"/>
        <v>0</v>
      </c>
    </row>
    <row r="103" spans="1:8">
      <c r="A103" s="75" t="s">
        <v>25</v>
      </c>
      <c r="B103" s="83">
        <f t="shared" si="80"/>
        <v>0</v>
      </c>
      <c r="C103" s="83">
        <f t="shared" si="80"/>
        <v>0</v>
      </c>
      <c r="D103" s="83">
        <f t="shared" si="80"/>
        <v>0</v>
      </c>
      <c r="E103" s="83">
        <f t="shared" si="80"/>
        <v>0</v>
      </c>
      <c r="F103" s="83">
        <f t="shared" si="80"/>
        <v>0</v>
      </c>
      <c r="G103" s="83">
        <f t="shared" si="80"/>
        <v>0</v>
      </c>
      <c r="H103" s="83">
        <f t="shared" si="80"/>
        <v>0</v>
      </c>
    </row>
    <row r="104" spans="1:8">
      <c r="A104" s="75" t="s">
        <v>46</v>
      </c>
      <c r="B104" s="83">
        <f t="shared" si="80"/>
        <v>0</v>
      </c>
      <c r="C104" s="83">
        <f t="shared" si="80"/>
        <v>0</v>
      </c>
      <c r="D104" s="83">
        <f t="shared" si="80"/>
        <v>0</v>
      </c>
      <c r="E104" s="83">
        <f t="shared" si="80"/>
        <v>0</v>
      </c>
      <c r="F104" s="83">
        <f t="shared" si="80"/>
        <v>0</v>
      </c>
      <c r="G104" s="83">
        <f t="shared" si="80"/>
        <v>0</v>
      </c>
      <c r="H104" s="83">
        <f t="shared" si="80"/>
        <v>0</v>
      </c>
    </row>
    <row r="105" spans="1:8">
      <c r="A105" s="75" t="s">
        <v>12</v>
      </c>
      <c r="B105" s="83">
        <f t="shared" si="80"/>
        <v>0</v>
      </c>
      <c r="C105" s="83">
        <f t="shared" si="80"/>
        <v>0</v>
      </c>
      <c r="D105" s="83">
        <f t="shared" si="80"/>
        <v>0</v>
      </c>
      <c r="E105" s="83">
        <f t="shared" si="80"/>
        <v>0</v>
      </c>
      <c r="F105" s="83">
        <f t="shared" si="80"/>
        <v>0</v>
      </c>
      <c r="G105" s="83">
        <f t="shared" si="80"/>
        <v>0</v>
      </c>
      <c r="H105" s="83">
        <f t="shared" si="80"/>
        <v>0</v>
      </c>
    </row>
    <row r="106" spans="1:8">
      <c r="A106" s="75" t="s">
        <v>27</v>
      </c>
      <c r="B106" s="83">
        <f t="shared" si="80"/>
        <v>0</v>
      </c>
      <c r="C106" s="83">
        <f t="shared" si="80"/>
        <v>0</v>
      </c>
      <c r="D106" s="83">
        <f t="shared" si="80"/>
        <v>0</v>
      </c>
      <c r="E106" s="83">
        <f t="shared" si="80"/>
        <v>0</v>
      </c>
      <c r="F106" s="83">
        <f t="shared" si="80"/>
        <v>0</v>
      </c>
      <c r="G106" s="83">
        <f t="shared" si="80"/>
        <v>0</v>
      </c>
      <c r="H106" s="83">
        <f t="shared" si="80"/>
        <v>0</v>
      </c>
    </row>
    <row r="107" spans="1:8">
      <c r="A107" s="75" t="s">
        <v>47</v>
      </c>
      <c r="B107" s="83">
        <f t="shared" si="80"/>
        <v>0</v>
      </c>
      <c r="C107" s="83">
        <f t="shared" si="80"/>
        <v>0</v>
      </c>
      <c r="D107" s="83">
        <f t="shared" si="80"/>
        <v>0</v>
      </c>
      <c r="E107" s="83">
        <f t="shared" si="80"/>
        <v>0</v>
      </c>
      <c r="F107" s="83">
        <f t="shared" si="80"/>
        <v>0</v>
      </c>
      <c r="G107" s="83">
        <f t="shared" si="80"/>
        <v>0</v>
      </c>
      <c r="H107" s="83">
        <f t="shared" si="80"/>
        <v>0</v>
      </c>
    </row>
    <row r="108" spans="1:8">
      <c r="A108" s="75" t="s">
        <v>12</v>
      </c>
      <c r="B108" s="83" t="e">
        <f t="shared" si="80"/>
        <v>#DIV/0!</v>
      </c>
      <c r="C108" s="83" t="e">
        <f t="shared" si="80"/>
        <v>#DIV/0!</v>
      </c>
      <c r="D108" s="83" t="e">
        <f t="shared" si="80"/>
        <v>#DIV/0!</v>
      </c>
      <c r="E108" s="83" t="e">
        <f t="shared" si="80"/>
        <v>#DIV/0!</v>
      </c>
      <c r="F108" s="83" t="e">
        <f t="shared" si="80"/>
        <v>#DIV/0!</v>
      </c>
      <c r="G108" s="83" t="e">
        <f t="shared" si="80"/>
        <v>#DIV/0!</v>
      </c>
      <c r="H108" s="83" t="e">
        <f t="shared" si="80"/>
        <v>#DIV/0!</v>
      </c>
    </row>
    <row r="109" spans="1:8">
      <c r="A109" s="75" t="s">
        <v>29</v>
      </c>
      <c r="B109" s="83">
        <f t="shared" si="80"/>
        <v>0</v>
      </c>
      <c r="C109" s="83">
        <f t="shared" si="80"/>
        <v>0</v>
      </c>
      <c r="D109" s="83">
        <f t="shared" si="80"/>
        <v>0</v>
      </c>
      <c r="E109" s="83">
        <f t="shared" si="80"/>
        <v>0</v>
      </c>
      <c r="F109" s="83">
        <f t="shared" si="80"/>
        <v>0</v>
      </c>
      <c r="G109" s="83">
        <f t="shared" si="80"/>
        <v>0</v>
      </c>
      <c r="H109" s="83">
        <f t="shared" si="80"/>
        <v>0</v>
      </c>
    </row>
    <row r="110" spans="1:8">
      <c r="A110" s="75" t="s">
        <v>48</v>
      </c>
      <c r="B110" s="83">
        <f t="shared" si="80"/>
        <v>0</v>
      </c>
      <c r="C110" s="83">
        <f t="shared" si="80"/>
        <v>0</v>
      </c>
      <c r="D110" s="83">
        <f t="shared" si="80"/>
        <v>0</v>
      </c>
      <c r="E110" s="83">
        <f t="shared" si="80"/>
        <v>0</v>
      </c>
      <c r="F110" s="83">
        <f t="shared" si="80"/>
        <v>0</v>
      </c>
      <c r="G110" s="83">
        <f t="shared" si="80"/>
        <v>0</v>
      </c>
      <c r="H110" s="83">
        <f t="shared" si="80"/>
        <v>0</v>
      </c>
    </row>
    <row r="111" spans="1:8">
      <c r="A111" s="75" t="s">
        <v>12</v>
      </c>
      <c r="B111" s="83">
        <f t="shared" si="80"/>
        <v>0</v>
      </c>
      <c r="C111" s="83">
        <f t="shared" si="80"/>
        <v>0</v>
      </c>
      <c r="D111" s="83">
        <f t="shared" si="80"/>
        <v>0</v>
      </c>
      <c r="E111" s="83">
        <f t="shared" si="80"/>
        <v>0</v>
      </c>
      <c r="F111" s="83">
        <f t="shared" si="80"/>
        <v>0</v>
      </c>
      <c r="G111" s="83">
        <f t="shared" si="80"/>
        <v>0</v>
      </c>
      <c r="H111" s="83">
        <f t="shared" si="80"/>
        <v>0</v>
      </c>
    </row>
    <row r="112" spans="1:8">
      <c r="A112" s="75" t="s">
        <v>31</v>
      </c>
      <c r="B112" s="83">
        <f t="shared" si="80"/>
        <v>0</v>
      </c>
      <c r="C112" s="83">
        <f t="shared" si="80"/>
        <v>0</v>
      </c>
      <c r="D112" s="83">
        <f t="shared" si="80"/>
        <v>0</v>
      </c>
      <c r="E112" s="83">
        <f t="shared" si="80"/>
        <v>0</v>
      </c>
      <c r="F112" s="83">
        <f t="shared" si="80"/>
        <v>0</v>
      </c>
      <c r="G112" s="83">
        <f t="shared" si="80"/>
        <v>0</v>
      </c>
      <c r="H112" s="83">
        <f t="shared" si="80"/>
        <v>0</v>
      </c>
    </row>
    <row r="113" spans="1:8">
      <c r="A113" s="75" t="s">
        <v>52</v>
      </c>
      <c r="B113" s="83">
        <f t="shared" si="80"/>
        <v>0</v>
      </c>
      <c r="C113" s="83">
        <f t="shared" si="80"/>
        <v>0</v>
      </c>
      <c r="D113" s="83">
        <f t="shared" si="80"/>
        <v>0</v>
      </c>
      <c r="E113" s="83">
        <f t="shared" si="80"/>
        <v>0</v>
      </c>
      <c r="F113" s="83">
        <f t="shared" si="80"/>
        <v>0</v>
      </c>
      <c r="G113" s="83">
        <f t="shared" si="80"/>
        <v>0</v>
      </c>
      <c r="H113" s="83">
        <f t="shared" si="80"/>
        <v>0</v>
      </c>
    </row>
    <row r="114" spans="1:8">
      <c r="A114" s="75" t="s">
        <v>12</v>
      </c>
      <c r="B114" s="83">
        <f t="shared" si="80"/>
        <v>0</v>
      </c>
      <c r="C114" s="83">
        <f t="shared" si="80"/>
        <v>0</v>
      </c>
      <c r="D114" s="83">
        <f t="shared" si="80"/>
        <v>0</v>
      </c>
      <c r="E114" s="83">
        <f t="shared" si="80"/>
        <v>0</v>
      </c>
      <c r="F114" s="83">
        <f t="shared" si="80"/>
        <v>0</v>
      </c>
      <c r="G114" s="83">
        <f t="shared" si="80"/>
        <v>0</v>
      </c>
      <c r="H114" s="83">
        <f t="shared" si="80"/>
        <v>0</v>
      </c>
    </row>
  </sheetData>
  <mergeCells count="1">
    <mergeCell ref="A4:H4"/>
  </mergeCells>
  <phoneticPr fontId="17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4"/>
  <dimension ref="A1:BC114"/>
  <sheetViews>
    <sheetView topLeftCell="A49" zoomScale="70" zoomScaleNormal="70" zoomScaleSheetLayoutView="85" workbookViewId="0">
      <selection activeCell="A9" sqref="A9:AQ40"/>
    </sheetView>
  </sheetViews>
  <sheetFormatPr defaultRowHeight="13.2"/>
  <cols>
    <col min="1" max="1" width="14.33203125" customWidth="1"/>
    <col min="2" max="2" width="7.33203125" customWidth="1"/>
    <col min="3" max="3" width="7.5546875" customWidth="1"/>
    <col min="5" max="5" width="7.109375" customWidth="1"/>
    <col min="6" max="6" width="7.33203125" customWidth="1"/>
    <col min="8" max="8" width="7.109375" customWidth="1"/>
    <col min="9" max="9" width="3.33203125" customWidth="1"/>
    <col min="10" max="10" width="14.5546875" customWidth="1"/>
    <col min="11" max="11" width="7" customWidth="1"/>
    <col min="12" max="12" width="8" customWidth="1"/>
    <col min="14" max="14" width="6.88671875" customWidth="1"/>
    <col min="16" max="16" width="7.33203125" customWidth="1"/>
    <col min="18" max="18" width="15.6640625" customWidth="1"/>
    <col min="19" max="19" width="8.109375" customWidth="1"/>
    <col min="20" max="20" width="7.5546875" customWidth="1"/>
    <col min="22" max="22" width="6.88671875" customWidth="1"/>
    <col min="23" max="23" width="7.109375" customWidth="1"/>
    <col min="25" max="25" width="7.33203125" customWidth="1"/>
    <col min="26" max="26" width="2.88671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6640625" customWidth="1"/>
    <col min="35" max="35" width="3.88671875" customWidth="1"/>
    <col min="36" max="36" width="15.6640625" customWidth="1"/>
  </cols>
  <sheetData>
    <row r="1" spans="1:55" s="12" customFormat="1" ht="12" customHeight="1">
      <c r="A1" s="256"/>
      <c r="B1" s="483" t="s">
        <v>68</v>
      </c>
      <c r="C1" s="483"/>
      <c r="D1" s="483"/>
      <c r="E1" s="483"/>
      <c r="F1" s="483"/>
      <c r="G1" s="483"/>
      <c r="H1" s="483"/>
    </row>
    <row r="2" spans="1:55" s="12" customFormat="1" ht="12" customHeight="1">
      <c r="A2" s="257"/>
      <c r="B2" s="484" t="s">
        <v>69</v>
      </c>
      <c r="C2" s="484"/>
      <c r="D2" s="484"/>
      <c r="E2" s="484"/>
      <c r="F2" s="484"/>
      <c r="G2" s="484"/>
      <c r="H2" s="484"/>
    </row>
    <row r="3" spans="1:55" s="12" customFormat="1" ht="12" customHeight="1">
      <c r="A3" s="257"/>
      <c r="B3" s="257"/>
      <c r="C3" s="255"/>
      <c r="D3" s="258"/>
      <c r="E3" s="259"/>
      <c r="F3" s="259"/>
      <c r="G3" s="259"/>
      <c r="H3" s="259"/>
    </row>
    <row r="4" spans="1:55" s="12" customFormat="1" ht="15" customHeight="1">
      <c r="A4" s="487" t="s">
        <v>56</v>
      </c>
      <c r="B4" s="487"/>
      <c r="C4" s="487"/>
      <c r="D4" s="487"/>
      <c r="E4" s="487"/>
      <c r="F4" s="487"/>
      <c r="G4" s="487"/>
      <c r="H4" s="487"/>
    </row>
    <row r="5" spans="1:55" ht="12" customHeight="1">
      <c r="A5" s="485" t="s">
        <v>71</v>
      </c>
      <c r="B5" s="485"/>
      <c r="C5" s="485"/>
      <c r="D5" s="485"/>
      <c r="E5" s="485"/>
      <c r="F5" s="485"/>
      <c r="G5" s="485"/>
      <c r="H5" s="485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55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04" customFormat="1">
      <c r="A8" s="467" t="s">
        <v>17</v>
      </c>
      <c r="B8" s="468"/>
      <c r="C8" s="468"/>
      <c r="D8" s="468"/>
      <c r="E8" s="468"/>
      <c r="F8" s="468"/>
      <c r="G8" s="468"/>
      <c r="H8" s="469"/>
      <c r="I8" s="231"/>
      <c r="J8" s="467" t="s">
        <v>17</v>
      </c>
      <c r="K8" s="468"/>
      <c r="L8" s="468"/>
      <c r="M8" s="468"/>
      <c r="N8" s="468"/>
      <c r="O8" s="468"/>
      <c r="P8" s="468"/>
      <c r="Q8" s="469"/>
      <c r="R8" s="467" t="s">
        <v>17</v>
      </c>
      <c r="S8" s="468"/>
      <c r="T8" s="468"/>
      <c r="U8" s="468"/>
      <c r="V8" s="468"/>
      <c r="W8" s="468"/>
      <c r="X8" s="468"/>
      <c r="Y8" s="469"/>
      <c r="Z8" s="231"/>
      <c r="AA8" s="467" t="s">
        <v>17</v>
      </c>
      <c r="AB8" s="468"/>
      <c r="AC8" s="468"/>
      <c r="AD8" s="468"/>
      <c r="AE8" s="468"/>
      <c r="AF8" s="468"/>
      <c r="AG8" s="468"/>
      <c r="AH8" s="469"/>
      <c r="AI8" s="231"/>
      <c r="AJ8" s="467" t="s">
        <v>17</v>
      </c>
      <c r="AK8" s="468"/>
      <c r="AL8" s="468"/>
      <c r="AM8" s="468"/>
      <c r="AN8" s="468"/>
      <c r="AO8" s="468"/>
      <c r="AP8" s="468"/>
      <c r="AQ8" s="469"/>
    </row>
    <row r="9" spans="1:55" s="204" customFormat="1">
      <c r="A9" s="33" t="s">
        <v>18</v>
      </c>
      <c r="B9" s="44">
        <f>B13+B20</f>
        <v>833.00000000000011</v>
      </c>
      <c r="C9" s="45">
        <f>C13+C20</f>
        <v>45348</v>
      </c>
      <c r="D9" s="46">
        <f>E9+F9+G9+H9</f>
        <v>38565</v>
      </c>
      <c r="E9" s="45">
        <f t="shared" ref="E9:H10" si="0">E13+E20</f>
        <v>4170</v>
      </c>
      <c r="F9" s="45">
        <f t="shared" si="0"/>
        <v>5668</v>
      </c>
      <c r="G9" s="45">
        <f t="shared" si="0"/>
        <v>1100</v>
      </c>
      <c r="H9" s="45">
        <f t="shared" si="0"/>
        <v>27627</v>
      </c>
      <c r="I9" s="375"/>
      <c r="J9" s="33" t="s">
        <v>18</v>
      </c>
      <c r="K9" s="44">
        <f>K13+K20</f>
        <v>380.79999999999995</v>
      </c>
      <c r="L9" s="45">
        <f>L13+L20</f>
        <v>14663</v>
      </c>
      <c r="M9" s="46">
        <f>N9+O9+P9+Q9</f>
        <v>12201</v>
      </c>
      <c r="N9" s="45">
        <f t="shared" ref="N9:Q10" si="1">N13+N20</f>
        <v>1318</v>
      </c>
      <c r="O9" s="45">
        <f t="shared" si="1"/>
        <v>3467</v>
      </c>
      <c r="P9" s="45">
        <f t="shared" si="1"/>
        <v>607</v>
      </c>
      <c r="Q9" s="45">
        <f t="shared" si="1"/>
        <v>6809</v>
      </c>
      <c r="R9" s="33" t="s">
        <v>18</v>
      </c>
      <c r="S9" s="44">
        <f>S13+S20</f>
        <v>386.9</v>
      </c>
      <c r="T9" s="45">
        <f>T13+T20</f>
        <v>23603</v>
      </c>
      <c r="U9" s="46">
        <f>V9+W9+X9+Y9</f>
        <v>20336</v>
      </c>
      <c r="V9" s="45">
        <f t="shared" ref="V9:Y10" si="2">V13+V20</f>
        <v>2611</v>
      </c>
      <c r="W9" s="45">
        <f t="shared" si="2"/>
        <v>1338</v>
      </c>
      <c r="X9" s="45">
        <f t="shared" si="2"/>
        <v>304</v>
      </c>
      <c r="Y9" s="45">
        <f t="shared" si="2"/>
        <v>16083</v>
      </c>
      <c r="Z9" s="375"/>
      <c r="AA9" s="33" t="s">
        <v>18</v>
      </c>
      <c r="AB9" s="44">
        <f>AB13+AB20</f>
        <v>98.600000000000009</v>
      </c>
      <c r="AC9" s="45">
        <f>AC13+AC20</f>
        <v>7383</v>
      </c>
      <c r="AD9" s="46">
        <f>AE9+AF9+AG9+AH9</f>
        <v>6433</v>
      </c>
      <c r="AE9" s="45">
        <f t="shared" ref="AE9:AH10" si="3">AE13+AE20</f>
        <v>1888</v>
      </c>
      <c r="AF9" s="45">
        <f t="shared" si="3"/>
        <v>123</v>
      </c>
      <c r="AG9" s="45">
        <f t="shared" si="3"/>
        <v>74</v>
      </c>
      <c r="AH9" s="45">
        <f t="shared" si="3"/>
        <v>4348</v>
      </c>
      <c r="AI9" s="375"/>
      <c r="AJ9" s="33" t="s">
        <v>18</v>
      </c>
      <c r="AK9" s="44">
        <f>AK13+AK20</f>
        <v>65.3</v>
      </c>
      <c r="AL9" s="45">
        <f>AL13+AL20</f>
        <v>7082</v>
      </c>
      <c r="AM9" s="46">
        <f>AN9+AO9+AP9+AQ9</f>
        <v>6028</v>
      </c>
      <c r="AN9" s="45">
        <f t="shared" ref="AN9:AQ10" si="4">AN13+AN20</f>
        <v>241</v>
      </c>
      <c r="AO9" s="45">
        <f t="shared" si="4"/>
        <v>863</v>
      </c>
      <c r="AP9" s="45">
        <f t="shared" si="4"/>
        <v>189</v>
      </c>
      <c r="AQ9" s="45">
        <f t="shared" si="4"/>
        <v>4735</v>
      </c>
    </row>
    <row r="10" spans="1:55" s="204" customFormat="1">
      <c r="A10" s="7" t="s">
        <v>19</v>
      </c>
      <c r="B10" s="42">
        <f>B14+B21</f>
        <v>742.69999999999982</v>
      </c>
      <c r="C10" s="36">
        <f>C14+C21</f>
        <v>35903</v>
      </c>
      <c r="D10" s="36">
        <f>E10+F10+G10+H10</f>
        <v>31500</v>
      </c>
      <c r="E10" s="36">
        <f t="shared" si="0"/>
        <v>1847</v>
      </c>
      <c r="F10" s="36">
        <f t="shared" si="0"/>
        <v>4627</v>
      </c>
      <c r="G10" s="36">
        <f t="shared" si="0"/>
        <v>90</v>
      </c>
      <c r="H10" s="36">
        <f t="shared" si="0"/>
        <v>24936</v>
      </c>
      <c r="I10" s="375"/>
      <c r="J10" s="7" t="s">
        <v>19</v>
      </c>
      <c r="K10" s="42">
        <f>K14+K21</f>
        <v>346.09999999999997</v>
      </c>
      <c r="L10" s="36">
        <f>L14+L21</f>
        <v>15093</v>
      </c>
      <c r="M10" s="36">
        <f>N10+O10+P10+Q10</f>
        <v>13160</v>
      </c>
      <c r="N10" s="36">
        <f t="shared" si="1"/>
        <v>728</v>
      </c>
      <c r="O10" s="36">
        <f t="shared" si="1"/>
        <v>2696</v>
      </c>
      <c r="P10" s="36">
        <f t="shared" si="1"/>
        <v>26</v>
      </c>
      <c r="Q10" s="36">
        <f t="shared" si="1"/>
        <v>9710</v>
      </c>
      <c r="R10" s="7" t="s">
        <v>19</v>
      </c>
      <c r="S10" s="42">
        <f>S14+S21</f>
        <v>385.3</v>
      </c>
      <c r="T10" s="36">
        <f>T14+T21</f>
        <v>20419</v>
      </c>
      <c r="U10" s="36">
        <f>V10+W10+X10+Y10</f>
        <v>18013</v>
      </c>
      <c r="V10" s="36">
        <f t="shared" si="2"/>
        <v>1118</v>
      </c>
      <c r="W10" s="36">
        <f t="shared" si="2"/>
        <v>1930</v>
      </c>
      <c r="X10" s="36">
        <f t="shared" si="2"/>
        <v>64</v>
      </c>
      <c r="Y10" s="36">
        <f t="shared" si="2"/>
        <v>14901</v>
      </c>
      <c r="Z10" s="375"/>
      <c r="AA10" s="7" t="s">
        <v>19</v>
      </c>
      <c r="AB10" s="42">
        <f>AB14+AB21</f>
        <v>60.8</v>
      </c>
      <c r="AC10" s="36">
        <f>AC14+AC21</f>
        <v>2950</v>
      </c>
      <c r="AD10" s="36">
        <f>AE10+AF10+AG10+AH10</f>
        <v>2595</v>
      </c>
      <c r="AE10" s="36">
        <f t="shared" si="3"/>
        <v>369</v>
      </c>
      <c r="AF10" s="36">
        <f t="shared" si="3"/>
        <v>237</v>
      </c>
      <c r="AG10" s="36">
        <f t="shared" si="3"/>
        <v>5</v>
      </c>
      <c r="AH10" s="36">
        <f t="shared" si="3"/>
        <v>1984</v>
      </c>
      <c r="AI10" s="375"/>
      <c r="AJ10" s="7" t="s">
        <v>19</v>
      </c>
      <c r="AK10" s="42">
        <f>AK14+AK21</f>
        <v>11.299999999999999</v>
      </c>
      <c r="AL10" s="36">
        <f>AL14+AL21</f>
        <v>391</v>
      </c>
      <c r="AM10" s="36">
        <f>AN10+AO10+AP10+AQ10</f>
        <v>327</v>
      </c>
      <c r="AN10" s="36">
        <f t="shared" si="4"/>
        <v>1</v>
      </c>
      <c r="AO10" s="36">
        <f t="shared" si="4"/>
        <v>1</v>
      </c>
      <c r="AP10" s="36">
        <f t="shared" si="4"/>
        <v>0</v>
      </c>
      <c r="AQ10" s="36">
        <f t="shared" si="4"/>
        <v>325</v>
      </c>
    </row>
    <row r="11" spans="1:55" s="204" customFormat="1">
      <c r="A11" s="33" t="s">
        <v>20</v>
      </c>
      <c r="B11" s="36">
        <f t="shared" ref="B11:H11" si="5">B10/B9*100</f>
        <v>89.159663865546179</v>
      </c>
      <c r="C11" s="36">
        <f t="shared" si="5"/>
        <v>79.17217958895651</v>
      </c>
      <c r="D11" s="36">
        <f t="shared" si="5"/>
        <v>81.680280046674454</v>
      </c>
      <c r="E11" s="36">
        <f t="shared" si="5"/>
        <v>44.29256594724221</v>
      </c>
      <c r="F11" s="36">
        <f t="shared" si="5"/>
        <v>81.633733239237827</v>
      </c>
      <c r="G11" s="36">
        <f t="shared" si="5"/>
        <v>8.1818181818181817</v>
      </c>
      <c r="H11" s="36">
        <f t="shared" si="5"/>
        <v>90.259528721902484</v>
      </c>
      <c r="I11" s="375"/>
      <c r="J11" s="33" t="s">
        <v>20</v>
      </c>
      <c r="K11" s="36">
        <f>K10/K9*100</f>
        <v>90.887605042016801</v>
      </c>
      <c r="L11" s="36">
        <f t="shared" ref="L11:Q11" si="6">L10/L9*100</f>
        <v>102.9325513196481</v>
      </c>
      <c r="M11" s="36">
        <f t="shared" si="6"/>
        <v>107.8600114744693</v>
      </c>
      <c r="N11" s="36">
        <f t="shared" si="6"/>
        <v>55.235204855842191</v>
      </c>
      <c r="O11" s="36">
        <f t="shared" si="6"/>
        <v>77.761753677531004</v>
      </c>
      <c r="P11" s="36">
        <f t="shared" si="6"/>
        <v>4.2833607907743003</v>
      </c>
      <c r="Q11" s="36">
        <f t="shared" si="6"/>
        <v>142.60537523865474</v>
      </c>
      <c r="R11" s="33" t="s">
        <v>20</v>
      </c>
      <c r="S11" s="36">
        <f t="shared" ref="S11:Y11" si="7">S10/S9*100</f>
        <v>99.586456448694761</v>
      </c>
      <c r="T11" s="36">
        <f t="shared" si="7"/>
        <v>86.51018938270559</v>
      </c>
      <c r="U11" s="36">
        <f t="shared" si="7"/>
        <v>88.576907946498821</v>
      </c>
      <c r="V11" s="36">
        <f t="shared" si="7"/>
        <v>42.818843355036385</v>
      </c>
      <c r="W11" s="36">
        <f t="shared" si="7"/>
        <v>144.24514200298955</v>
      </c>
      <c r="X11" s="36">
        <f t="shared" si="7"/>
        <v>21.052631578947366</v>
      </c>
      <c r="Y11" s="36">
        <f t="shared" si="7"/>
        <v>92.650624883417279</v>
      </c>
      <c r="Z11" s="375"/>
      <c r="AA11" s="33" t="s">
        <v>20</v>
      </c>
      <c r="AB11" s="36">
        <f t="shared" ref="AB11:AH11" si="8">AB10/AB9*100</f>
        <v>61.663286004056786</v>
      </c>
      <c r="AC11" s="36">
        <f t="shared" si="8"/>
        <v>39.956657185425982</v>
      </c>
      <c r="AD11" s="36">
        <f t="shared" si="8"/>
        <v>40.338877662055026</v>
      </c>
      <c r="AE11" s="36">
        <f t="shared" si="8"/>
        <v>19.54449152542373</v>
      </c>
      <c r="AF11" s="36">
        <f t="shared" si="8"/>
        <v>192.6829268292683</v>
      </c>
      <c r="AG11" s="36">
        <f t="shared" si="8"/>
        <v>6.756756756756757</v>
      </c>
      <c r="AH11" s="36">
        <f t="shared" si="8"/>
        <v>45.63017479300828</v>
      </c>
      <c r="AI11" s="375"/>
      <c r="AJ11" s="33" t="s">
        <v>20</v>
      </c>
      <c r="AK11" s="36">
        <f t="shared" ref="AK11:AQ11" si="9">AK10/AK9*100</f>
        <v>17.304747320061256</v>
      </c>
      <c r="AL11" s="36">
        <f t="shared" si="9"/>
        <v>5.5210392544478957</v>
      </c>
      <c r="AM11" s="36">
        <f t="shared" si="9"/>
        <v>5.4246848042468478</v>
      </c>
      <c r="AN11" s="36">
        <f t="shared" si="9"/>
        <v>0.41493775933609961</v>
      </c>
      <c r="AO11" s="36">
        <f t="shared" si="9"/>
        <v>0.11587485515643105</v>
      </c>
      <c r="AP11" s="36">
        <f t="shared" si="9"/>
        <v>0</v>
      </c>
      <c r="AQ11" s="36">
        <f t="shared" si="9"/>
        <v>6.8637803590285111</v>
      </c>
    </row>
    <row r="12" spans="1:55" s="204" customFormat="1" ht="12.75" customHeight="1">
      <c r="A12" s="461" t="s">
        <v>11</v>
      </c>
      <c r="B12" s="462"/>
      <c r="C12" s="462"/>
      <c r="D12" s="462"/>
      <c r="E12" s="462"/>
      <c r="F12" s="462"/>
      <c r="G12" s="462"/>
      <c r="H12" s="463"/>
      <c r="I12" s="376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Z12" s="376"/>
      <c r="AA12" s="461" t="s">
        <v>11</v>
      </c>
      <c r="AB12" s="462"/>
      <c r="AC12" s="462"/>
      <c r="AD12" s="462"/>
      <c r="AE12" s="462"/>
      <c r="AF12" s="462"/>
      <c r="AG12" s="462"/>
      <c r="AH12" s="463"/>
      <c r="AI12" s="376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55" s="205" customFormat="1">
      <c r="A13" s="244" t="s">
        <v>18</v>
      </c>
      <c r="B13" s="47">
        <f t="shared" ref="B13:H14" si="10">K13+S13+AK13</f>
        <v>116.60000000000001</v>
      </c>
      <c r="C13" s="29">
        <f t="shared" si="10"/>
        <v>7691</v>
      </c>
      <c r="D13" s="29">
        <f t="shared" si="10"/>
        <v>6122</v>
      </c>
      <c r="E13" s="29">
        <f t="shared" si="10"/>
        <v>580</v>
      </c>
      <c r="F13" s="29">
        <f t="shared" si="10"/>
        <v>2597</v>
      </c>
      <c r="G13" s="29">
        <f t="shared" si="10"/>
        <v>499</v>
      </c>
      <c r="H13" s="29">
        <f t="shared" si="10"/>
        <v>2446</v>
      </c>
      <c r="I13" s="376"/>
      <c r="J13" s="244" t="s">
        <v>18</v>
      </c>
      <c r="K13" s="15">
        <f>96-0.6</f>
        <v>95.4</v>
      </c>
      <c r="L13" s="16">
        <f>17+1570+2773+28+65+62</f>
        <v>4515</v>
      </c>
      <c r="M13" s="16">
        <f>N13+O13+P13+Q13</f>
        <v>3548</v>
      </c>
      <c r="N13" s="16">
        <f>358+2+8</f>
        <v>368</v>
      </c>
      <c r="O13" s="16">
        <f>587+1105+12+24+25</f>
        <v>1753</v>
      </c>
      <c r="P13" s="16">
        <f>7+215+86+1+9+2</f>
        <v>320</v>
      </c>
      <c r="Q13" s="16">
        <f>4+404+662+6+16+15</f>
        <v>1107</v>
      </c>
      <c r="R13" s="244" t="s">
        <v>18</v>
      </c>
      <c r="S13" s="395">
        <f>0.9</f>
        <v>0.9</v>
      </c>
      <c r="T13" s="396">
        <f>86+104+73</f>
        <v>263</v>
      </c>
      <c r="U13" s="396">
        <f>V13+W13+X13+Y13</f>
        <v>214</v>
      </c>
      <c r="V13" s="396">
        <f>2+7</f>
        <v>9</v>
      </c>
      <c r="W13" s="396">
        <f>5+23</f>
        <v>28</v>
      </c>
      <c r="X13" s="396">
        <f>2+2+29</f>
        <v>33</v>
      </c>
      <c r="Y13" s="396">
        <f>69+57+18</f>
        <v>144</v>
      </c>
      <c r="Z13" s="376"/>
      <c r="AA13" s="244" t="s">
        <v>18</v>
      </c>
      <c r="AB13" s="15">
        <v>0.9</v>
      </c>
      <c r="AC13" s="16">
        <v>86</v>
      </c>
      <c r="AD13" s="16">
        <f>AE13+AF13+AG13+AH13</f>
        <v>78</v>
      </c>
      <c r="AE13" s="16">
        <v>2</v>
      </c>
      <c r="AF13" s="16">
        <v>5</v>
      </c>
      <c r="AG13" s="16">
        <v>2</v>
      </c>
      <c r="AH13" s="16">
        <v>69</v>
      </c>
      <c r="AI13" s="376"/>
      <c r="AJ13" s="244" t="s">
        <v>18</v>
      </c>
      <c r="AK13" s="15">
        <v>20.3</v>
      </c>
      <c r="AL13" s="16">
        <v>2913</v>
      </c>
      <c r="AM13" s="16">
        <f>AN13+AO13+AP13+AQ13</f>
        <v>2360</v>
      </c>
      <c r="AN13" s="16">
        <v>203</v>
      </c>
      <c r="AO13" s="16">
        <v>816</v>
      </c>
      <c r="AP13" s="16">
        <v>146</v>
      </c>
      <c r="AQ13" s="16">
        <v>1195</v>
      </c>
    </row>
    <row r="14" spans="1:55" s="204" customFormat="1">
      <c r="A14" s="18" t="s">
        <v>19</v>
      </c>
      <c r="B14" s="27">
        <f t="shared" si="10"/>
        <v>56.300000000000004</v>
      </c>
      <c r="C14" s="26">
        <f t="shared" si="10"/>
        <v>2548</v>
      </c>
      <c r="D14" s="26">
        <f t="shared" si="10"/>
        <v>2246</v>
      </c>
      <c r="E14" s="26">
        <f t="shared" si="10"/>
        <v>416</v>
      </c>
      <c r="F14" s="26">
        <f t="shared" si="10"/>
        <v>849</v>
      </c>
      <c r="G14" s="26">
        <f t="shared" si="10"/>
        <v>27</v>
      </c>
      <c r="H14" s="26">
        <f t="shared" si="10"/>
        <v>954</v>
      </c>
      <c r="I14" s="376"/>
      <c r="J14" s="18" t="s">
        <v>19</v>
      </c>
      <c r="K14" s="6">
        <v>52.7</v>
      </c>
      <c r="L14" s="6">
        <v>2159</v>
      </c>
      <c r="M14" s="26">
        <f>N14+O14+P14+Q14</f>
        <v>1937</v>
      </c>
      <c r="N14" s="6">
        <v>314</v>
      </c>
      <c r="O14" s="6">
        <v>783</v>
      </c>
      <c r="P14" s="6">
        <v>26</v>
      </c>
      <c r="Q14" s="6">
        <v>814</v>
      </c>
      <c r="R14" s="18" t="s">
        <v>19</v>
      </c>
      <c r="S14" s="6">
        <v>2.5</v>
      </c>
      <c r="T14" s="6">
        <v>268</v>
      </c>
      <c r="U14" s="391">
        <f>V14+W14+X14+Y14</f>
        <v>212</v>
      </c>
      <c r="V14" s="6">
        <v>101</v>
      </c>
      <c r="W14" s="6">
        <v>65</v>
      </c>
      <c r="X14" s="6">
        <v>1</v>
      </c>
      <c r="Y14" s="6">
        <v>45</v>
      </c>
      <c r="Z14" s="376"/>
      <c r="AA14" s="18" t="s">
        <v>19</v>
      </c>
      <c r="AB14" s="6">
        <v>2.5</v>
      </c>
      <c r="AC14" s="6">
        <v>268</v>
      </c>
      <c r="AD14" s="9">
        <f>AE14+AF14+AG14+AH14</f>
        <v>212</v>
      </c>
      <c r="AE14" s="6">
        <v>101</v>
      </c>
      <c r="AF14" s="6">
        <v>65</v>
      </c>
      <c r="AG14" s="6">
        <v>1</v>
      </c>
      <c r="AH14" s="6">
        <v>45</v>
      </c>
      <c r="AI14" s="376"/>
      <c r="AJ14" s="18" t="s">
        <v>19</v>
      </c>
      <c r="AK14" s="6">
        <v>1.1000000000000001</v>
      </c>
      <c r="AL14" s="6">
        <v>121</v>
      </c>
      <c r="AM14" s="9">
        <f>AN14+AO14+AP14+AQ14</f>
        <v>97</v>
      </c>
      <c r="AN14" s="6">
        <v>1</v>
      </c>
      <c r="AO14" s="6">
        <v>1</v>
      </c>
      <c r="AP14" s="6"/>
      <c r="AQ14" s="6">
        <v>95</v>
      </c>
    </row>
    <row r="15" spans="1:55" s="205" customFormat="1">
      <c r="A15" s="244" t="s">
        <v>20</v>
      </c>
      <c r="B15" s="9">
        <f t="shared" ref="B15:H15" si="11">B14/B13*100</f>
        <v>48.284734133790735</v>
      </c>
      <c r="C15" s="9">
        <f t="shared" si="11"/>
        <v>33.129632037446363</v>
      </c>
      <c r="D15" s="9">
        <f t="shared" si="11"/>
        <v>36.687357072852009</v>
      </c>
      <c r="E15" s="9">
        <f t="shared" si="11"/>
        <v>71.724137931034477</v>
      </c>
      <c r="F15" s="9">
        <f t="shared" si="11"/>
        <v>32.691567192914903</v>
      </c>
      <c r="G15" s="9">
        <f t="shared" si="11"/>
        <v>5.4108216432865728</v>
      </c>
      <c r="H15" s="9">
        <f t="shared" si="11"/>
        <v>39.002452984464433</v>
      </c>
      <c r="I15" s="376"/>
      <c r="J15" s="244" t="s">
        <v>20</v>
      </c>
      <c r="K15" s="9">
        <f t="shared" ref="K15:Q15" si="12">K14/K13*100</f>
        <v>55.24109014675053</v>
      </c>
      <c r="L15" s="9">
        <f t="shared" si="12"/>
        <v>47.818383167220375</v>
      </c>
      <c r="M15" s="9">
        <f t="shared" si="12"/>
        <v>54.594137542277345</v>
      </c>
      <c r="N15" s="9">
        <f t="shared" si="12"/>
        <v>85.326086956521735</v>
      </c>
      <c r="O15" s="9">
        <f t="shared" si="12"/>
        <v>44.666286366229322</v>
      </c>
      <c r="P15" s="9">
        <f t="shared" si="12"/>
        <v>8.125</v>
      </c>
      <c r="Q15" s="9">
        <f t="shared" si="12"/>
        <v>73.532068654019881</v>
      </c>
      <c r="R15" s="244" t="s">
        <v>20</v>
      </c>
      <c r="S15" s="26"/>
      <c r="T15" s="26"/>
      <c r="U15" s="26"/>
      <c r="V15" s="26"/>
      <c r="W15" s="26"/>
      <c r="X15" s="26"/>
      <c r="Y15" s="26"/>
      <c r="Z15" s="376"/>
      <c r="AA15" s="244" t="s">
        <v>20</v>
      </c>
      <c r="AB15" s="9">
        <f t="shared" ref="AB15:AH15" si="13">AB14/AB13*100</f>
        <v>277.77777777777777</v>
      </c>
      <c r="AC15" s="9">
        <f t="shared" si="13"/>
        <v>311.62790697674421</v>
      </c>
      <c r="AD15" s="9">
        <f t="shared" si="13"/>
        <v>271.79487179487182</v>
      </c>
      <c r="AE15" s="9">
        <f t="shared" si="13"/>
        <v>5050</v>
      </c>
      <c r="AF15" s="9">
        <f t="shared" si="13"/>
        <v>1300</v>
      </c>
      <c r="AG15" s="9">
        <f t="shared" si="13"/>
        <v>50</v>
      </c>
      <c r="AH15" s="9">
        <f t="shared" si="13"/>
        <v>65.217391304347828</v>
      </c>
      <c r="AI15" s="376"/>
      <c r="AJ15" s="244" t="s">
        <v>20</v>
      </c>
      <c r="AK15" s="9">
        <f t="shared" ref="AK15:AQ15" si="14">AK14/AK13*100</f>
        <v>5.4187192118226601</v>
      </c>
      <c r="AL15" s="9">
        <f t="shared" si="14"/>
        <v>4.1537933401991074</v>
      </c>
      <c r="AM15" s="9">
        <f t="shared" si="14"/>
        <v>4.1101694915254239</v>
      </c>
      <c r="AN15" s="9">
        <f t="shared" si="14"/>
        <v>0.49261083743842365</v>
      </c>
      <c r="AO15" s="9">
        <f t="shared" si="14"/>
        <v>0.12254901960784313</v>
      </c>
      <c r="AP15" s="9">
        <f t="shared" si="14"/>
        <v>0</v>
      </c>
      <c r="AQ15" s="9">
        <f t="shared" si="14"/>
        <v>7.9497907949790791</v>
      </c>
    </row>
    <row r="16" spans="1:55" s="205" customFormat="1">
      <c r="A16" s="6" t="s">
        <v>13</v>
      </c>
      <c r="B16" s="27">
        <f t="shared" ref="B16:H17" si="15">K16+S16+AK16</f>
        <v>35.299999999999997</v>
      </c>
      <c r="C16" s="26">
        <f t="shared" si="15"/>
        <v>1426</v>
      </c>
      <c r="D16" s="26">
        <f t="shared" si="15"/>
        <v>1229</v>
      </c>
      <c r="E16" s="26">
        <f t="shared" si="15"/>
        <v>209</v>
      </c>
      <c r="F16" s="26">
        <f t="shared" si="15"/>
        <v>457</v>
      </c>
      <c r="G16" s="26">
        <f t="shared" si="15"/>
        <v>22</v>
      </c>
      <c r="H16" s="26">
        <f t="shared" si="15"/>
        <v>541</v>
      </c>
      <c r="I16" s="376"/>
      <c r="J16" s="6" t="s">
        <v>13</v>
      </c>
      <c r="K16" s="27">
        <v>34.299999999999997</v>
      </c>
      <c r="L16" s="6">
        <v>1325</v>
      </c>
      <c r="M16" s="26">
        <f>N16+O16+P16+Q16</f>
        <v>1150</v>
      </c>
      <c r="N16" s="6">
        <v>207</v>
      </c>
      <c r="O16" s="6">
        <v>456</v>
      </c>
      <c r="P16" s="6">
        <v>22</v>
      </c>
      <c r="Q16" s="6">
        <v>465</v>
      </c>
      <c r="R16" s="6" t="s">
        <v>13</v>
      </c>
      <c r="S16" s="6"/>
      <c r="T16" s="6">
        <v>1</v>
      </c>
      <c r="U16" s="391">
        <f>V16+W16+X16+Y16</f>
        <v>1</v>
      </c>
      <c r="V16" s="6">
        <v>1</v>
      </c>
      <c r="W16" s="6"/>
      <c r="X16" s="6"/>
      <c r="Y16" s="6"/>
      <c r="Z16" s="376"/>
      <c r="AA16" s="6" t="s">
        <v>13</v>
      </c>
      <c r="AB16" s="6"/>
      <c r="AC16" s="6">
        <v>1</v>
      </c>
      <c r="AD16" s="9">
        <f>AE16+AF16+AG16+AH16</f>
        <v>1</v>
      </c>
      <c r="AE16" s="6">
        <v>1</v>
      </c>
      <c r="AF16" s="6"/>
      <c r="AG16" s="6"/>
      <c r="AH16" s="6"/>
      <c r="AI16" s="376"/>
      <c r="AJ16" s="6" t="s">
        <v>13</v>
      </c>
      <c r="AK16" s="6">
        <v>1</v>
      </c>
      <c r="AL16" s="6">
        <v>100</v>
      </c>
      <c r="AM16" s="9">
        <f>AN16+AO16+AP16+AQ16</f>
        <v>78</v>
      </c>
      <c r="AN16" s="6">
        <v>1</v>
      </c>
      <c r="AO16" s="6">
        <v>1</v>
      </c>
      <c r="AP16" s="6"/>
      <c r="AQ16" s="6">
        <v>76</v>
      </c>
    </row>
    <row r="17" spans="1:43" s="205" customFormat="1">
      <c r="A17" s="6" t="s">
        <v>14</v>
      </c>
      <c r="B17" s="27">
        <f t="shared" si="15"/>
        <v>0.3</v>
      </c>
      <c r="C17" s="26">
        <f t="shared" si="15"/>
        <v>21</v>
      </c>
      <c r="D17" s="26">
        <f t="shared" si="15"/>
        <v>20</v>
      </c>
      <c r="E17" s="26">
        <f t="shared" si="15"/>
        <v>0</v>
      </c>
      <c r="F17" s="26">
        <f t="shared" si="15"/>
        <v>8</v>
      </c>
      <c r="G17" s="26">
        <f t="shared" si="15"/>
        <v>1</v>
      </c>
      <c r="H17" s="26">
        <f t="shared" si="15"/>
        <v>11</v>
      </c>
      <c r="I17" s="376"/>
      <c r="J17" s="6" t="s">
        <v>14</v>
      </c>
      <c r="K17" s="6">
        <v>0.3</v>
      </c>
      <c r="L17" s="6">
        <v>21</v>
      </c>
      <c r="M17" s="26">
        <f>N17+O17+P17+Q17</f>
        <v>20</v>
      </c>
      <c r="N17" s="6"/>
      <c r="O17" s="6">
        <v>8</v>
      </c>
      <c r="P17" s="6">
        <v>1</v>
      </c>
      <c r="Q17" s="6">
        <v>11</v>
      </c>
      <c r="R17" s="6" t="s">
        <v>14</v>
      </c>
      <c r="S17" s="6"/>
      <c r="T17" s="6"/>
      <c r="U17" s="6"/>
      <c r="V17" s="6"/>
      <c r="W17" s="6"/>
      <c r="X17" s="6"/>
      <c r="Y17" s="6"/>
      <c r="Z17" s="376"/>
      <c r="AA17" s="6" t="s">
        <v>14</v>
      </c>
      <c r="AB17" s="6"/>
      <c r="AC17" s="6"/>
      <c r="AD17" s="6"/>
      <c r="AE17" s="6"/>
      <c r="AF17" s="6"/>
      <c r="AG17" s="6"/>
      <c r="AH17" s="6"/>
      <c r="AI17" s="376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204" customFormat="1" ht="12.75" customHeight="1">
      <c r="A19" s="461" t="s">
        <v>16</v>
      </c>
      <c r="B19" s="462"/>
      <c r="C19" s="462"/>
      <c r="D19" s="462"/>
      <c r="E19" s="462"/>
      <c r="F19" s="462"/>
      <c r="G19" s="462"/>
      <c r="H19" s="463"/>
      <c r="I19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Z19"/>
      <c r="AA19" s="461" t="s">
        <v>16</v>
      </c>
      <c r="AB19" s="462"/>
      <c r="AC19" s="462"/>
      <c r="AD19" s="462"/>
      <c r="AE19" s="462"/>
      <c r="AF19" s="462"/>
      <c r="AG19" s="462"/>
      <c r="AH19" s="463"/>
      <c r="AI19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4" t="s">
        <v>18</v>
      </c>
      <c r="B20" s="47">
        <f>B23+B26+B29+B32+B35+B38</f>
        <v>716.40000000000009</v>
      </c>
      <c r="C20" s="29">
        <f>C23+C26+C29+C32+C35+C38</f>
        <v>37657</v>
      </c>
      <c r="D20" s="29">
        <f>E20+F20+G20+H20</f>
        <v>32443</v>
      </c>
      <c r="E20" s="29">
        <f t="shared" ref="E20:H21" si="16">E23+E26+E29+E32+E35+E38</f>
        <v>3590</v>
      </c>
      <c r="F20" s="29">
        <f t="shared" si="16"/>
        <v>3071</v>
      </c>
      <c r="G20" s="29">
        <f t="shared" si="16"/>
        <v>601</v>
      </c>
      <c r="H20" s="29">
        <f t="shared" si="16"/>
        <v>25181</v>
      </c>
      <c r="J20" s="244" t="s">
        <v>18</v>
      </c>
      <c r="K20" s="47">
        <f>K23+K26+K29+K32+K35+K38</f>
        <v>285.39999999999998</v>
      </c>
      <c r="L20" s="29">
        <f>L23+L26+L29+L32+L35+L38</f>
        <v>10148</v>
      </c>
      <c r="M20" s="29">
        <f>N20+O20+P20+Q20</f>
        <v>8653</v>
      </c>
      <c r="N20" s="29">
        <f t="shared" ref="N20:Q21" si="17">N23+N26+N29+N32+N35+N38</f>
        <v>950</v>
      </c>
      <c r="O20" s="29">
        <f t="shared" si="17"/>
        <v>1714</v>
      </c>
      <c r="P20" s="29">
        <f t="shared" si="17"/>
        <v>287</v>
      </c>
      <c r="Q20" s="29">
        <f t="shared" si="17"/>
        <v>5702</v>
      </c>
      <c r="R20" s="244" t="s">
        <v>18</v>
      </c>
      <c r="S20" s="48">
        <f>S23+S26+S29+S32+S35+S38</f>
        <v>386</v>
      </c>
      <c r="T20" s="49">
        <f>T23+T26+T29+T32+T35+T38</f>
        <v>23340</v>
      </c>
      <c r="U20" s="49">
        <f>V20+W20+X20+Y20</f>
        <v>20122</v>
      </c>
      <c r="V20" s="49">
        <f t="shared" ref="V20:Y21" si="18">V23+V26+V29+V32+V35+V38</f>
        <v>2602</v>
      </c>
      <c r="W20" s="49">
        <f t="shared" si="18"/>
        <v>1310</v>
      </c>
      <c r="X20" s="49">
        <f t="shared" si="18"/>
        <v>271</v>
      </c>
      <c r="Y20" s="49">
        <f t="shared" si="18"/>
        <v>15939</v>
      </c>
      <c r="AA20" s="244" t="s">
        <v>18</v>
      </c>
      <c r="AB20" s="47">
        <f>AB23+AB26+AB29+AB32+AB35+AB38</f>
        <v>97.7</v>
      </c>
      <c r="AC20" s="29">
        <f>AC23+AC26+AC29+AC32+AC35+AC38</f>
        <v>7297</v>
      </c>
      <c r="AD20" s="29">
        <f>AE20+AF20+AG20+AH20</f>
        <v>6355</v>
      </c>
      <c r="AE20" s="29">
        <f t="shared" ref="AE20:AH21" si="19">AE23+AE26+AE29+AE32+AE35+AE38</f>
        <v>1886</v>
      </c>
      <c r="AF20" s="29">
        <f t="shared" si="19"/>
        <v>118</v>
      </c>
      <c r="AG20" s="29">
        <f t="shared" si="19"/>
        <v>72</v>
      </c>
      <c r="AH20" s="29">
        <f t="shared" si="19"/>
        <v>4279</v>
      </c>
      <c r="AJ20" s="244" t="s">
        <v>18</v>
      </c>
      <c r="AK20" s="47">
        <f>AK23+AK26+AK29+AK32+AK35+AK38</f>
        <v>45</v>
      </c>
      <c r="AL20" s="29">
        <f>AL23+AL26+AL29+AL32+AL35+AL38</f>
        <v>4169</v>
      </c>
      <c r="AM20" s="29">
        <f>AN20+AO20+AP20+AQ20</f>
        <v>3668</v>
      </c>
      <c r="AN20" s="29">
        <f t="shared" ref="AN20:AQ21" si="20">AN23+AN26+AN29+AN32+AN35+AN38</f>
        <v>38</v>
      </c>
      <c r="AO20" s="29">
        <f t="shared" si="20"/>
        <v>47</v>
      </c>
      <c r="AP20" s="29">
        <f t="shared" si="20"/>
        <v>43</v>
      </c>
      <c r="AQ20" s="29">
        <f t="shared" si="20"/>
        <v>3540</v>
      </c>
    </row>
    <row r="21" spans="1:43" s="204" customFormat="1">
      <c r="A21" s="18" t="s">
        <v>19</v>
      </c>
      <c r="B21" s="27">
        <f>B24+B27+B30+B33+B36+B39</f>
        <v>686.39999999999986</v>
      </c>
      <c r="C21" s="26">
        <f>C24+C27+C30+C33+C36+C39</f>
        <v>33355</v>
      </c>
      <c r="D21" s="26">
        <f>E21+F21+G21+H21</f>
        <v>29254</v>
      </c>
      <c r="E21" s="26">
        <f t="shared" si="16"/>
        <v>1431</v>
      </c>
      <c r="F21" s="26">
        <f t="shared" si="16"/>
        <v>3778</v>
      </c>
      <c r="G21" s="26">
        <f t="shared" si="16"/>
        <v>63</v>
      </c>
      <c r="H21" s="26">
        <f t="shared" si="16"/>
        <v>23982</v>
      </c>
      <c r="I21" s="376"/>
      <c r="J21" s="18" t="s">
        <v>19</v>
      </c>
      <c r="K21" s="27">
        <f>K24+K27+K30+K33+K36+K39</f>
        <v>293.39999999999998</v>
      </c>
      <c r="L21" s="26">
        <f>L24+L27+L30+L33+L36+L39</f>
        <v>12934</v>
      </c>
      <c r="M21" s="26">
        <f>N21+O21+P21+Q21</f>
        <v>11223</v>
      </c>
      <c r="N21" s="26">
        <f t="shared" si="17"/>
        <v>414</v>
      </c>
      <c r="O21" s="26">
        <f t="shared" si="17"/>
        <v>1913</v>
      </c>
      <c r="P21" s="26">
        <f t="shared" si="17"/>
        <v>0</v>
      </c>
      <c r="Q21" s="26">
        <f t="shared" si="17"/>
        <v>8896</v>
      </c>
      <c r="R21" s="18" t="s">
        <v>19</v>
      </c>
      <c r="S21" s="27">
        <f>S24+S27+S30+S33+S36+S39</f>
        <v>382.8</v>
      </c>
      <c r="T21" s="26">
        <f>T24+T27+T30+T33+T36+T39</f>
        <v>20151</v>
      </c>
      <c r="U21" s="26">
        <f>V21+W21+X21+Y21</f>
        <v>17801</v>
      </c>
      <c r="V21" s="26">
        <f t="shared" si="18"/>
        <v>1017</v>
      </c>
      <c r="W21" s="26">
        <f t="shared" si="18"/>
        <v>1865</v>
      </c>
      <c r="X21" s="26">
        <f t="shared" si="18"/>
        <v>63</v>
      </c>
      <c r="Y21" s="26">
        <f t="shared" si="18"/>
        <v>14856</v>
      </c>
      <c r="Z21" s="376"/>
      <c r="AA21" s="18" t="s">
        <v>19</v>
      </c>
      <c r="AB21" s="27">
        <f>AB24+AB27+AB30+AB33+AB36+AB39</f>
        <v>58.3</v>
      </c>
      <c r="AC21" s="26">
        <f>AC24+AC27+AC30+AC33+AC36+AC39</f>
        <v>2682</v>
      </c>
      <c r="AD21" s="26">
        <f>AE21+AF21+AG21+AH21</f>
        <v>2383</v>
      </c>
      <c r="AE21" s="26">
        <f t="shared" si="19"/>
        <v>268</v>
      </c>
      <c r="AF21" s="26">
        <f t="shared" si="19"/>
        <v>172</v>
      </c>
      <c r="AG21" s="26">
        <f t="shared" si="19"/>
        <v>4</v>
      </c>
      <c r="AH21" s="26">
        <f t="shared" si="19"/>
        <v>1939</v>
      </c>
      <c r="AI21" s="376"/>
      <c r="AJ21" s="18" t="s">
        <v>19</v>
      </c>
      <c r="AK21" s="27">
        <f>AK24+AK27+AK30+AK33+AK36+AK39</f>
        <v>10.199999999999999</v>
      </c>
      <c r="AL21" s="26">
        <f>AL24+AL27+AL30+AL33+AL36+AL39</f>
        <v>270</v>
      </c>
      <c r="AM21" s="26">
        <f>AN21+AO21+AP21+AQ21</f>
        <v>230</v>
      </c>
      <c r="AN21" s="26">
        <f t="shared" si="20"/>
        <v>0</v>
      </c>
      <c r="AO21" s="26">
        <f t="shared" si="20"/>
        <v>0</v>
      </c>
      <c r="AP21" s="26">
        <f t="shared" si="20"/>
        <v>0</v>
      </c>
      <c r="AQ21" s="26">
        <f t="shared" si="20"/>
        <v>230</v>
      </c>
    </row>
    <row r="22" spans="1:43">
      <c r="A22" s="244" t="s">
        <v>20</v>
      </c>
      <c r="B22" s="9">
        <f t="shared" ref="B22:H22" si="21">B21/B20*100</f>
        <v>95.812395309882717</v>
      </c>
      <c r="C22" s="9">
        <f t="shared" si="21"/>
        <v>88.575829195103168</v>
      </c>
      <c r="D22" s="9">
        <f t="shared" si="21"/>
        <v>90.170452794131251</v>
      </c>
      <c r="E22" s="9">
        <f t="shared" si="21"/>
        <v>39.860724233983284</v>
      </c>
      <c r="F22" s="9">
        <f t="shared" si="21"/>
        <v>123.02181699772061</v>
      </c>
      <c r="G22" s="9">
        <f t="shared" si="21"/>
        <v>10.482529118136439</v>
      </c>
      <c r="H22" s="9">
        <f t="shared" si="21"/>
        <v>95.238473452206023</v>
      </c>
      <c r="J22" s="244" t="s">
        <v>20</v>
      </c>
      <c r="K22" s="9">
        <f t="shared" ref="K22:Q22" si="22">K21/K20*100</f>
        <v>102.80308339173089</v>
      </c>
      <c r="L22" s="9">
        <f t="shared" si="22"/>
        <v>127.45368545526212</v>
      </c>
      <c r="M22" s="9">
        <f t="shared" si="22"/>
        <v>129.70068184444702</v>
      </c>
      <c r="N22" s="9">
        <f t="shared" si="22"/>
        <v>43.578947368421048</v>
      </c>
      <c r="O22" s="9">
        <f t="shared" si="22"/>
        <v>111.61026837806301</v>
      </c>
      <c r="P22" s="9">
        <f t="shared" si="22"/>
        <v>0</v>
      </c>
      <c r="Q22" s="9">
        <f t="shared" si="22"/>
        <v>156.01543318133989</v>
      </c>
      <c r="R22" s="244" t="s">
        <v>20</v>
      </c>
      <c r="S22" s="9">
        <f t="shared" ref="S22:Y22" si="23">S21/S20*100</f>
        <v>99.17098445595856</v>
      </c>
      <c r="T22" s="9">
        <f t="shared" si="23"/>
        <v>86.33676092544988</v>
      </c>
      <c r="U22" s="9">
        <f t="shared" si="23"/>
        <v>88.465361296093832</v>
      </c>
      <c r="V22" s="9">
        <f t="shared" si="23"/>
        <v>39.085318985395851</v>
      </c>
      <c r="W22" s="9">
        <f t="shared" si="23"/>
        <v>142.36641221374046</v>
      </c>
      <c r="X22" s="9">
        <f t="shared" si="23"/>
        <v>23.247232472324722</v>
      </c>
      <c r="Y22" s="9">
        <f t="shared" si="23"/>
        <v>93.205345379258418</v>
      </c>
      <c r="AA22" s="244" t="s">
        <v>20</v>
      </c>
      <c r="AB22" s="9">
        <f t="shared" ref="AB22:AH22" si="24">AB21/AB20*100</f>
        <v>59.672466734902763</v>
      </c>
      <c r="AC22" s="9">
        <f t="shared" si="24"/>
        <v>36.754830752363986</v>
      </c>
      <c r="AD22" s="9">
        <f t="shared" si="24"/>
        <v>37.498033044846579</v>
      </c>
      <c r="AE22" s="9">
        <f t="shared" si="24"/>
        <v>14.209968186638388</v>
      </c>
      <c r="AF22" s="9">
        <f t="shared" si="24"/>
        <v>145.76271186440678</v>
      </c>
      <c r="AG22" s="9">
        <f t="shared" si="24"/>
        <v>5.5555555555555554</v>
      </c>
      <c r="AH22" s="9">
        <f t="shared" si="24"/>
        <v>45.314325777050712</v>
      </c>
      <c r="AJ22" s="244" t="s">
        <v>20</v>
      </c>
      <c r="AK22" s="9">
        <f>AK21/AK20*100</f>
        <v>22.666666666666664</v>
      </c>
      <c r="AL22" s="9">
        <f>AL21/AL20*100</f>
        <v>6.476373230990645</v>
      </c>
      <c r="AM22" s="9">
        <f>AM21/AM20*100</f>
        <v>6.2704471101417667</v>
      </c>
      <c r="AN22" s="9"/>
      <c r="AO22" s="9">
        <f>AO21/AO20*100</f>
        <v>0</v>
      </c>
      <c r="AP22" s="9">
        <f>AP21/AP20*100</f>
        <v>0</v>
      </c>
      <c r="AQ22" s="9">
        <f>AQ21/AQ20*100</f>
        <v>6.4971751412429377</v>
      </c>
    </row>
    <row r="23" spans="1:43">
      <c r="A23" s="6" t="s">
        <v>21</v>
      </c>
      <c r="B23" s="47">
        <f t="shared" ref="B23:H24" si="25">K23+S23+AK23</f>
        <v>246.20000000000002</v>
      </c>
      <c r="C23" s="29">
        <f t="shared" si="25"/>
        <v>14070</v>
      </c>
      <c r="D23" s="29">
        <f t="shared" si="25"/>
        <v>12109</v>
      </c>
      <c r="E23" s="29">
        <f t="shared" si="25"/>
        <v>2261</v>
      </c>
      <c r="F23" s="29">
        <f t="shared" si="25"/>
        <v>1205</v>
      </c>
      <c r="G23" s="29">
        <f t="shared" si="25"/>
        <v>253</v>
      </c>
      <c r="H23" s="29">
        <f t="shared" si="25"/>
        <v>8390</v>
      </c>
      <c r="J23" s="6" t="s">
        <v>21</v>
      </c>
      <c r="K23" s="15">
        <f>133.2-1.2</f>
        <v>132</v>
      </c>
      <c r="L23" s="16">
        <f>1+1515+1103+161+5+148+2205+70</f>
        <v>5208</v>
      </c>
      <c r="M23" s="16">
        <f>N23+O23+P23+Q23</f>
        <v>4431</v>
      </c>
      <c r="N23" s="16">
        <f>76+309+45+110+4</f>
        <v>544</v>
      </c>
      <c r="O23" s="16">
        <f>379+121+18+21+419+15</f>
        <v>973</v>
      </c>
      <c r="P23" s="16">
        <f>106+22+3+1+9+22+1</f>
        <v>164</v>
      </c>
      <c r="Q23" s="16">
        <f>1+727+530+77+4+93+1279+39</f>
        <v>2750</v>
      </c>
      <c r="R23" s="6" t="s">
        <v>21</v>
      </c>
      <c r="S23" s="50">
        <f>70.4+36</f>
        <v>106.4</v>
      </c>
      <c r="T23" s="50">
        <f>5206+2388+8</f>
        <v>7602</v>
      </c>
      <c r="U23" s="50">
        <f>V23+W23+X23+Y23</f>
        <v>6569</v>
      </c>
      <c r="V23" s="50">
        <f>1562+143</f>
        <v>1705</v>
      </c>
      <c r="W23" s="50">
        <f>52+167</f>
        <v>219</v>
      </c>
      <c r="X23" s="50">
        <f>52+24</f>
        <v>76</v>
      </c>
      <c r="Y23" s="50">
        <f>2915+1648+6</f>
        <v>4569</v>
      </c>
      <c r="AA23" s="6" t="s">
        <v>21</v>
      </c>
      <c r="AB23" s="15">
        <v>70.400000000000006</v>
      </c>
      <c r="AC23" s="16">
        <v>5206</v>
      </c>
      <c r="AD23" s="16">
        <f>AE23+AF23+AG23+AH23</f>
        <v>4581</v>
      </c>
      <c r="AE23" s="16">
        <v>1562</v>
      </c>
      <c r="AF23" s="16">
        <v>52</v>
      </c>
      <c r="AG23" s="16">
        <v>52</v>
      </c>
      <c r="AH23" s="16">
        <v>2915</v>
      </c>
      <c r="AJ23" s="6" t="s">
        <v>21</v>
      </c>
      <c r="AK23" s="15">
        <v>7.8</v>
      </c>
      <c r="AL23" s="16">
        <v>1260</v>
      </c>
      <c r="AM23" s="16">
        <f>AN23+AO23+AP23+AQ23</f>
        <v>1109</v>
      </c>
      <c r="AN23" s="16">
        <v>12</v>
      </c>
      <c r="AO23" s="16">
        <v>13</v>
      </c>
      <c r="AP23" s="16">
        <v>13</v>
      </c>
      <c r="AQ23" s="16">
        <v>1071</v>
      </c>
    </row>
    <row r="24" spans="1:43">
      <c r="A24" s="6" t="s">
        <v>22</v>
      </c>
      <c r="B24" s="27">
        <f t="shared" si="25"/>
        <v>235.1</v>
      </c>
      <c r="C24" s="26">
        <f t="shared" si="25"/>
        <v>11065</v>
      </c>
      <c r="D24" s="26">
        <f t="shared" si="25"/>
        <v>9717</v>
      </c>
      <c r="E24" s="26">
        <f t="shared" si="25"/>
        <v>841</v>
      </c>
      <c r="F24" s="26">
        <f t="shared" si="25"/>
        <v>1562</v>
      </c>
      <c r="G24" s="26">
        <f t="shared" si="25"/>
        <v>5</v>
      </c>
      <c r="H24" s="26">
        <f t="shared" si="25"/>
        <v>7309</v>
      </c>
      <c r="J24" s="6" t="s">
        <v>22</v>
      </c>
      <c r="K24" s="8">
        <v>120.3</v>
      </c>
      <c r="L24" s="9">
        <v>5485</v>
      </c>
      <c r="M24" s="9">
        <f>N24+O24+P24+Q24</f>
        <v>4747</v>
      </c>
      <c r="N24" s="9">
        <v>265</v>
      </c>
      <c r="O24" s="9">
        <v>986</v>
      </c>
      <c r="P24" s="9"/>
      <c r="Q24" s="9">
        <v>3496</v>
      </c>
      <c r="R24" s="6" t="s">
        <v>22</v>
      </c>
      <c r="S24" s="30">
        <v>114.8</v>
      </c>
      <c r="T24" s="30">
        <v>5580</v>
      </c>
      <c r="U24" s="30">
        <f>V24+W24+X24+Y24</f>
        <v>4970</v>
      </c>
      <c r="V24" s="30">
        <v>576</v>
      </c>
      <c r="W24" s="30">
        <v>576</v>
      </c>
      <c r="X24" s="30">
        <v>5</v>
      </c>
      <c r="Y24" s="30">
        <v>3813</v>
      </c>
      <c r="AA24" s="6" t="s">
        <v>22</v>
      </c>
      <c r="AB24" s="27">
        <v>44.4</v>
      </c>
      <c r="AC24" s="6">
        <v>2346</v>
      </c>
      <c r="AD24" s="9">
        <f>AE24+AF24+AG24+AH24</f>
        <v>2068</v>
      </c>
      <c r="AE24" s="6">
        <v>257</v>
      </c>
      <c r="AF24" s="6">
        <v>152</v>
      </c>
      <c r="AG24" s="6">
        <v>4</v>
      </c>
      <c r="AH24" s="6">
        <v>1655</v>
      </c>
      <c r="AJ24" s="6" t="s">
        <v>22</v>
      </c>
      <c r="AK24" s="27"/>
      <c r="AL24" s="6"/>
      <c r="AM24" s="9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9">
        <f t="shared" ref="B25:H25" si="26">B24/B23*100</f>
        <v>95.491470349309495</v>
      </c>
      <c r="C25" s="9">
        <f t="shared" si="26"/>
        <v>78.64250177683013</v>
      </c>
      <c r="D25" s="9">
        <f t="shared" si="26"/>
        <v>80.246097943678251</v>
      </c>
      <c r="E25" s="9">
        <f t="shared" si="26"/>
        <v>37.19593100398054</v>
      </c>
      <c r="F25" s="9">
        <f t="shared" si="26"/>
        <v>129.6265560165975</v>
      </c>
      <c r="G25" s="9">
        <f t="shared" si="26"/>
        <v>1.9762845849802373</v>
      </c>
      <c r="H25" s="9">
        <f t="shared" si="26"/>
        <v>87.115613825983317</v>
      </c>
      <c r="J25" s="6" t="s">
        <v>12</v>
      </c>
      <c r="K25" s="9">
        <f t="shared" ref="K25:Q25" si="27">K24/K23*100</f>
        <v>91.13636363636364</v>
      </c>
      <c r="L25" s="9">
        <f t="shared" si="27"/>
        <v>105.31874039938556</v>
      </c>
      <c r="M25" s="9">
        <f t="shared" si="27"/>
        <v>107.13157300835026</v>
      </c>
      <c r="N25" s="9">
        <f t="shared" si="27"/>
        <v>48.713235294117645</v>
      </c>
      <c r="O25" s="9">
        <f t="shared" si="27"/>
        <v>101.33607399794451</v>
      </c>
      <c r="P25" s="9">
        <f t="shared" si="27"/>
        <v>0</v>
      </c>
      <c r="Q25" s="9">
        <f t="shared" si="27"/>
        <v>127.12727272727274</v>
      </c>
      <c r="R25" s="6" t="s">
        <v>12</v>
      </c>
      <c r="S25" s="9">
        <f t="shared" ref="S25:Y25" si="28">S24/S23*100</f>
        <v>107.89473684210526</v>
      </c>
      <c r="T25" s="9">
        <f t="shared" si="28"/>
        <v>73.401736385161797</v>
      </c>
      <c r="U25" s="9">
        <f t="shared" si="28"/>
        <v>75.658395493986902</v>
      </c>
      <c r="V25" s="9">
        <f t="shared" si="28"/>
        <v>33.782991202346039</v>
      </c>
      <c r="W25" s="9">
        <f t="shared" si="28"/>
        <v>263.01369863013696</v>
      </c>
      <c r="X25" s="9">
        <f t="shared" si="28"/>
        <v>6.5789473684210522</v>
      </c>
      <c r="Y25" s="9">
        <f t="shared" si="28"/>
        <v>83.453709783322395</v>
      </c>
      <c r="AA25" s="6" t="s">
        <v>12</v>
      </c>
      <c r="AB25" s="9">
        <f t="shared" ref="AB25:AH25" si="29">AB24/AB23*100</f>
        <v>63.068181818181813</v>
      </c>
      <c r="AC25" s="9">
        <f t="shared" si="29"/>
        <v>45.06338839800231</v>
      </c>
      <c r="AD25" s="9">
        <f t="shared" si="29"/>
        <v>45.142981881685223</v>
      </c>
      <c r="AE25" s="9">
        <f t="shared" si="29"/>
        <v>16.453265044814341</v>
      </c>
      <c r="AF25" s="9">
        <f t="shared" si="29"/>
        <v>292.30769230769226</v>
      </c>
      <c r="AG25" s="9">
        <f t="shared" si="29"/>
        <v>7.6923076923076925</v>
      </c>
      <c r="AH25" s="9">
        <f t="shared" si="29"/>
        <v>56.775300171526588</v>
      </c>
      <c r="AJ25" s="6" t="s">
        <v>12</v>
      </c>
      <c r="AK25" s="9">
        <f>AK24/AK23*100</f>
        <v>0</v>
      </c>
      <c r="AL25" s="9">
        <f>AL24/AL23*100</f>
        <v>0</v>
      </c>
      <c r="AM25" s="9">
        <f>AM24/AM23*100</f>
        <v>0</v>
      </c>
      <c r="AN25" s="9"/>
      <c r="AO25" s="9">
        <f>AO24/AO23*100</f>
        <v>0</v>
      </c>
      <c r="AP25" s="9"/>
      <c r="AQ25" s="9">
        <f>AQ24/AQ23*100</f>
        <v>0</v>
      </c>
    </row>
    <row r="26" spans="1:43">
      <c r="A26" s="6" t="s">
        <v>23</v>
      </c>
      <c r="B26" s="47">
        <f t="shared" ref="B26:H27" si="30">K26+S26+AK26</f>
        <v>90.300000000000011</v>
      </c>
      <c r="C26" s="29">
        <f t="shared" si="30"/>
        <v>6410</v>
      </c>
      <c r="D26" s="29">
        <f t="shared" si="30"/>
        <v>5532</v>
      </c>
      <c r="E26" s="29">
        <f t="shared" si="30"/>
        <v>278</v>
      </c>
      <c r="F26" s="29">
        <f t="shared" si="30"/>
        <v>238</v>
      </c>
      <c r="G26" s="29">
        <f t="shared" si="30"/>
        <v>66</v>
      </c>
      <c r="H26" s="29">
        <f t="shared" si="30"/>
        <v>4950</v>
      </c>
      <c r="J26" s="6" t="s">
        <v>23</v>
      </c>
      <c r="K26" s="15">
        <f>13-4.3</f>
        <v>8.6999999999999993</v>
      </c>
      <c r="L26" s="16">
        <f>7+28+57+10+26+127+8+1+8+24+25+2+371+72+6</f>
        <v>772</v>
      </c>
      <c r="M26" s="16">
        <f>N26+O26+P26+Q26</f>
        <v>674</v>
      </c>
      <c r="N26" s="16">
        <f>1+2+3+15+1+22+5+1</f>
        <v>50</v>
      </c>
      <c r="O26" s="16">
        <f>5+10+2+4+15+1+1+2+3+34+7+1</f>
        <v>85</v>
      </c>
      <c r="P26" s="16">
        <f>3+6+1+2+1</f>
        <v>13</v>
      </c>
      <c r="Q26" s="16">
        <f>5+14+29+5+15+77+5+1+7+19+20+2+270+52+5</f>
        <v>526</v>
      </c>
      <c r="R26" s="6" t="s">
        <v>23</v>
      </c>
      <c r="S26" s="50">
        <f>11.1+52.6</f>
        <v>63.7</v>
      </c>
      <c r="T26" s="50">
        <f>648+3315+433</f>
        <v>4396</v>
      </c>
      <c r="U26" s="50">
        <f>V26+W26+X26+Y26</f>
        <v>3765</v>
      </c>
      <c r="V26" s="50">
        <f>52+165</f>
        <v>217</v>
      </c>
      <c r="W26" s="50">
        <f>7+133</f>
        <v>140</v>
      </c>
      <c r="X26" s="50">
        <f>7+33</f>
        <v>40</v>
      </c>
      <c r="Y26" s="50">
        <f>466+2586+316</f>
        <v>3368</v>
      </c>
      <c r="AA26" s="6" t="s">
        <v>23</v>
      </c>
      <c r="AB26" s="15">
        <v>11.1</v>
      </c>
      <c r="AC26" s="16">
        <v>648</v>
      </c>
      <c r="AD26" s="16">
        <f>AE26+AF26+AG26+AH26</f>
        <v>532</v>
      </c>
      <c r="AE26" s="16">
        <v>52</v>
      </c>
      <c r="AF26" s="16">
        <v>7</v>
      </c>
      <c r="AG26" s="16">
        <v>7</v>
      </c>
      <c r="AH26" s="16">
        <v>466</v>
      </c>
      <c r="AJ26" s="6" t="s">
        <v>23</v>
      </c>
      <c r="AK26" s="15">
        <v>17.899999999999999</v>
      </c>
      <c r="AL26" s="16">
        <v>1242</v>
      </c>
      <c r="AM26" s="16">
        <f>AN26+AO26+AP26+AQ26</f>
        <v>1093</v>
      </c>
      <c r="AN26" s="16">
        <v>11</v>
      </c>
      <c r="AO26" s="16">
        <v>13</v>
      </c>
      <c r="AP26" s="16">
        <v>13</v>
      </c>
      <c r="AQ26" s="16">
        <v>1056</v>
      </c>
    </row>
    <row r="27" spans="1:43">
      <c r="A27" s="6" t="s">
        <v>24</v>
      </c>
      <c r="B27" s="27">
        <f t="shared" si="30"/>
        <v>118.8</v>
      </c>
      <c r="C27" s="26">
        <f t="shared" si="30"/>
        <v>4717</v>
      </c>
      <c r="D27" s="26">
        <f t="shared" si="30"/>
        <v>4235</v>
      </c>
      <c r="E27" s="26">
        <f t="shared" si="30"/>
        <v>203</v>
      </c>
      <c r="F27" s="26">
        <f t="shared" si="30"/>
        <v>628</v>
      </c>
      <c r="G27" s="26">
        <f t="shared" si="30"/>
        <v>0</v>
      </c>
      <c r="H27" s="26">
        <f t="shared" si="30"/>
        <v>3404</v>
      </c>
      <c r="J27" s="6" t="s">
        <v>24</v>
      </c>
      <c r="K27" s="8">
        <v>17.7</v>
      </c>
      <c r="L27" s="9">
        <v>693</v>
      </c>
      <c r="M27" s="9">
        <f>N27+O27+P27+Q27</f>
        <v>619</v>
      </c>
      <c r="N27" s="9">
        <v>27</v>
      </c>
      <c r="O27" s="9">
        <v>103</v>
      </c>
      <c r="P27" s="9"/>
      <c r="Q27" s="9">
        <v>489</v>
      </c>
      <c r="R27" s="6" t="s">
        <v>24</v>
      </c>
      <c r="S27" s="24">
        <v>95</v>
      </c>
      <c r="T27" s="30">
        <v>3874</v>
      </c>
      <c r="U27" s="30">
        <f>V27+W27+X27+Y27</f>
        <v>3486</v>
      </c>
      <c r="V27" s="30">
        <v>176</v>
      </c>
      <c r="W27" s="30">
        <v>525</v>
      </c>
      <c r="X27" s="30"/>
      <c r="Y27" s="30">
        <v>2785</v>
      </c>
      <c r="AA27" s="6" t="s">
        <v>24</v>
      </c>
      <c r="AB27" s="6">
        <v>4.9000000000000004</v>
      </c>
      <c r="AC27" s="6">
        <v>125</v>
      </c>
      <c r="AD27" s="9">
        <f>AE27+AF27+AG27+AH27</f>
        <v>125</v>
      </c>
      <c r="AE27" s="6">
        <v>11</v>
      </c>
      <c r="AF27" s="6">
        <v>20</v>
      </c>
      <c r="AG27" s="6"/>
      <c r="AH27" s="6">
        <v>94</v>
      </c>
      <c r="AJ27" s="6" t="s">
        <v>24</v>
      </c>
      <c r="AK27" s="6">
        <v>6.1</v>
      </c>
      <c r="AL27" s="6">
        <v>150</v>
      </c>
      <c r="AM27" s="9">
        <f>AN27+AO27+AP27+AQ27</f>
        <v>130</v>
      </c>
      <c r="AN27" s="6"/>
      <c r="AO27" s="6"/>
      <c r="AP27" s="6"/>
      <c r="AQ27" s="6">
        <v>130</v>
      </c>
    </row>
    <row r="28" spans="1:43">
      <c r="A28" s="6" t="s">
        <v>12</v>
      </c>
      <c r="B28" s="9">
        <f t="shared" ref="B28:H28" si="31">B27/B26*100</f>
        <v>131.56146179401992</v>
      </c>
      <c r="C28" s="9">
        <f t="shared" si="31"/>
        <v>73.588143525741032</v>
      </c>
      <c r="D28" s="9">
        <f t="shared" si="31"/>
        <v>76.55459146782357</v>
      </c>
      <c r="E28" s="9">
        <f t="shared" si="31"/>
        <v>73.021582733812949</v>
      </c>
      <c r="F28" s="9">
        <f t="shared" si="31"/>
        <v>263.8655462184874</v>
      </c>
      <c r="G28" s="9">
        <f t="shared" si="31"/>
        <v>0</v>
      </c>
      <c r="H28" s="9">
        <f t="shared" si="31"/>
        <v>68.767676767676761</v>
      </c>
      <c r="J28" s="6" t="s">
        <v>12</v>
      </c>
      <c r="K28" s="9">
        <f t="shared" ref="K28:Q28" si="32">K27/K26*100</f>
        <v>203.44827586206898</v>
      </c>
      <c r="L28" s="9">
        <f t="shared" si="32"/>
        <v>89.766839378238345</v>
      </c>
      <c r="M28" s="9">
        <f t="shared" si="32"/>
        <v>91.839762611275972</v>
      </c>
      <c r="N28" s="9">
        <f t="shared" si="32"/>
        <v>54</v>
      </c>
      <c r="O28" s="9">
        <f t="shared" si="32"/>
        <v>121.17647058823529</v>
      </c>
      <c r="P28" s="9">
        <f t="shared" si="32"/>
        <v>0</v>
      </c>
      <c r="Q28" s="9">
        <f t="shared" si="32"/>
        <v>92.965779467680605</v>
      </c>
      <c r="R28" s="6" t="s">
        <v>12</v>
      </c>
      <c r="S28" s="9">
        <f t="shared" ref="S28:Y28" si="33">S27/S26*100</f>
        <v>149.13657770800629</v>
      </c>
      <c r="T28" s="9">
        <f t="shared" si="33"/>
        <v>88.125568698817105</v>
      </c>
      <c r="U28" s="9">
        <f t="shared" si="33"/>
        <v>92.589641434262944</v>
      </c>
      <c r="V28" s="9">
        <f t="shared" si="33"/>
        <v>81.105990783410135</v>
      </c>
      <c r="W28" s="9">
        <f t="shared" si="33"/>
        <v>375</v>
      </c>
      <c r="X28" s="9">
        <f t="shared" si="33"/>
        <v>0</v>
      </c>
      <c r="Y28" s="9">
        <f t="shared" si="33"/>
        <v>82.690023752969125</v>
      </c>
      <c r="AA28" s="6" t="s">
        <v>12</v>
      </c>
      <c r="AB28" s="9">
        <f t="shared" ref="AB28:AH28" si="34">AB27/AB26*100</f>
        <v>44.14414414414415</v>
      </c>
      <c r="AC28" s="9">
        <f t="shared" si="34"/>
        <v>19.290123456790123</v>
      </c>
      <c r="AD28" s="9">
        <f t="shared" si="34"/>
        <v>23.496240601503761</v>
      </c>
      <c r="AE28" s="9">
        <f t="shared" si="34"/>
        <v>21.153846153846153</v>
      </c>
      <c r="AF28" s="9">
        <f t="shared" si="34"/>
        <v>285.71428571428572</v>
      </c>
      <c r="AG28" s="9">
        <f t="shared" si="34"/>
        <v>0</v>
      </c>
      <c r="AH28" s="9">
        <f t="shared" si="34"/>
        <v>20.171673819742487</v>
      </c>
      <c r="AJ28" s="6" t="s">
        <v>12</v>
      </c>
      <c r="AK28" s="9">
        <f>AK27/AK26*100</f>
        <v>34.078212290502798</v>
      </c>
      <c r="AL28" s="9">
        <f>AL27/AL26*100</f>
        <v>12.077294685990339</v>
      </c>
      <c r="AM28" s="9">
        <f>AM27/AM26*100</f>
        <v>11.893870082342177</v>
      </c>
      <c r="AN28" s="9"/>
      <c r="AO28" s="9"/>
      <c r="AP28" s="9"/>
      <c r="AQ28" s="9">
        <f>AQ27/AQ26*100</f>
        <v>12.310606060606061</v>
      </c>
    </row>
    <row r="29" spans="1:43">
      <c r="A29" s="6" t="s">
        <v>25</v>
      </c>
      <c r="B29" s="47">
        <f t="shared" ref="B29:H30" si="35">K29+S29+AK29</f>
        <v>62.6</v>
      </c>
      <c r="C29" s="29">
        <f t="shared" si="35"/>
        <v>4194</v>
      </c>
      <c r="D29" s="29">
        <f t="shared" si="35"/>
        <v>3636</v>
      </c>
      <c r="E29" s="29">
        <f t="shared" si="35"/>
        <v>212</v>
      </c>
      <c r="F29" s="29">
        <f t="shared" si="35"/>
        <v>225</v>
      </c>
      <c r="G29" s="29">
        <f t="shared" si="35"/>
        <v>36</v>
      </c>
      <c r="H29" s="29">
        <f t="shared" si="35"/>
        <v>3163</v>
      </c>
      <c r="J29" s="6" t="s">
        <v>25</v>
      </c>
      <c r="K29" s="15">
        <f>13.7-8.4</f>
        <v>5.2999999999999989</v>
      </c>
      <c r="L29" s="16">
        <f>21+40+5+76+135</f>
        <v>277</v>
      </c>
      <c r="M29" s="16">
        <f>N29+O29+P29+Q29</f>
        <v>242</v>
      </c>
      <c r="N29" s="16">
        <f>1+4+9</f>
        <v>14</v>
      </c>
      <c r="O29" s="16">
        <f>5+5+8+10</f>
        <v>28</v>
      </c>
      <c r="P29" s="16">
        <f>2+1</f>
        <v>3</v>
      </c>
      <c r="Q29" s="16">
        <f>10+24+4+59+100</f>
        <v>197</v>
      </c>
      <c r="R29" s="6" t="s">
        <v>25</v>
      </c>
      <c r="S29" s="48">
        <f>2.7+47.7</f>
        <v>50.400000000000006</v>
      </c>
      <c r="T29" s="50">
        <f>151+2716+470</f>
        <v>3337</v>
      </c>
      <c r="U29" s="50">
        <f>V29+W29+X29+Y29</f>
        <v>2884</v>
      </c>
      <c r="V29" s="50">
        <f>3+190</f>
        <v>193</v>
      </c>
      <c r="W29" s="50">
        <f>1+190</f>
        <v>191</v>
      </c>
      <c r="X29" s="50">
        <f>0+27</f>
        <v>27</v>
      </c>
      <c r="Y29" s="50">
        <f>120+2010+343</f>
        <v>2473</v>
      </c>
      <c r="AA29" s="6" t="s">
        <v>25</v>
      </c>
      <c r="AB29" s="15">
        <v>2.7</v>
      </c>
      <c r="AC29" s="16">
        <v>151</v>
      </c>
      <c r="AD29" s="16">
        <f>AE29+AF29+AG29+AH29</f>
        <v>124</v>
      </c>
      <c r="AE29" s="16">
        <v>3</v>
      </c>
      <c r="AF29" s="16">
        <v>1</v>
      </c>
      <c r="AG29" s="16"/>
      <c r="AH29" s="16">
        <v>120</v>
      </c>
      <c r="AJ29" s="6" t="s">
        <v>25</v>
      </c>
      <c r="AK29" s="15">
        <v>6.9</v>
      </c>
      <c r="AL29" s="16">
        <v>580</v>
      </c>
      <c r="AM29" s="16">
        <f>AN29+AO29+AP29+AQ29</f>
        <v>510</v>
      </c>
      <c r="AN29" s="16">
        <v>5</v>
      </c>
      <c r="AO29" s="16">
        <v>6</v>
      </c>
      <c r="AP29" s="16">
        <v>6</v>
      </c>
      <c r="AQ29" s="16">
        <v>493</v>
      </c>
    </row>
    <row r="30" spans="1:43">
      <c r="A30" s="6" t="s">
        <v>26</v>
      </c>
      <c r="B30" s="27">
        <f t="shared" si="35"/>
        <v>63.9</v>
      </c>
      <c r="C30" s="26">
        <f t="shared" si="35"/>
        <v>2313</v>
      </c>
      <c r="D30" s="26">
        <f t="shared" si="35"/>
        <v>1984</v>
      </c>
      <c r="E30" s="26">
        <f t="shared" si="35"/>
        <v>0</v>
      </c>
      <c r="F30" s="26">
        <f t="shared" si="35"/>
        <v>0</v>
      </c>
      <c r="G30" s="26">
        <f t="shared" si="35"/>
        <v>0</v>
      </c>
      <c r="H30" s="26">
        <f t="shared" si="35"/>
        <v>1984</v>
      </c>
      <c r="J30" s="6" t="s">
        <v>26</v>
      </c>
      <c r="K30" s="6">
        <v>20.2</v>
      </c>
      <c r="L30" s="6">
        <v>581</v>
      </c>
      <c r="M30" s="9">
        <f>N30+O30+P30+Q30</f>
        <v>516</v>
      </c>
      <c r="N30" s="6"/>
      <c r="O30" s="6"/>
      <c r="P30" s="6"/>
      <c r="Q30" s="6">
        <v>516</v>
      </c>
      <c r="R30" s="6" t="s">
        <v>26</v>
      </c>
      <c r="S30" s="24">
        <v>39.6</v>
      </c>
      <c r="T30" s="30">
        <v>1612</v>
      </c>
      <c r="U30" s="30">
        <f>V30+W30+X30+Y30</f>
        <v>1368</v>
      </c>
      <c r="V30" s="30"/>
      <c r="W30" s="30"/>
      <c r="X30" s="30"/>
      <c r="Y30" s="30">
        <v>1368</v>
      </c>
      <c r="AA30" s="6" t="s">
        <v>26</v>
      </c>
      <c r="AB30" s="6">
        <v>4.9000000000000004</v>
      </c>
      <c r="AC30" s="6">
        <v>67</v>
      </c>
      <c r="AD30" s="9">
        <f>AE30+AF30+AG30+AH30</f>
        <v>61</v>
      </c>
      <c r="AE30" s="6"/>
      <c r="AF30" s="6"/>
      <c r="AG30" s="6"/>
      <c r="AH30" s="6">
        <v>61</v>
      </c>
      <c r="AJ30" s="6" t="s">
        <v>26</v>
      </c>
      <c r="AK30" s="27">
        <v>4.0999999999999996</v>
      </c>
      <c r="AL30" s="6">
        <v>120</v>
      </c>
      <c r="AM30" s="9">
        <f>AN30+AO30+AP30+AQ30</f>
        <v>100</v>
      </c>
      <c r="AN30" s="6"/>
      <c r="AO30" s="6"/>
      <c r="AP30" s="6"/>
      <c r="AQ30" s="6">
        <v>100</v>
      </c>
    </row>
    <row r="31" spans="1:43">
      <c r="A31" s="6" t="s">
        <v>12</v>
      </c>
      <c r="B31" s="9">
        <f t="shared" ref="B31:H31" si="36">B30/B29*100</f>
        <v>102.07667731629392</v>
      </c>
      <c r="C31" s="9">
        <f t="shared" si="36"/>
        <v>55.150214592274679</v>
      </c>
      <c r="D31" s="9">
        <f t="shared" si="36"/>
        <v>54.56545654565457</v>
      </c>
      <c r="E31" s="9">
        <f t="shared" si="36"/>
        <v>0</v>
      </c>
      <c r="F31" s="9">
        <f t="shared" si="36"/>
        <v>0</v>
      </c>
      <c r="G31" s="9">
        <f t="shared" si="36"/>
        <v>0</v>
      </c>
      <c r="H31" s="9">
        <f t="shared" si="36"/>
        <v>62.725260828327535</v>
      </c>
      <c r="J31" s="6" t="s">
        <v>12</v>
      </c>
      <c r="K31" s="9">
        <f t="shared" ref="K31:Q31" si="37">K30/K29*100</f>
        <v>381.13207547169816</v>
      </c>
      <c r="L31" s="9">
        <f t="shared" si="37"/>
        <v>209.74729241877256</v>
      </c>
      <c r="M31" s="9">
        <f t="shared" si="37"/>
        <v>213.22314049586777</v>
      </c>
      <c r="N31" s="9">
        <f t="shared" si="37"/>
        <v>0</v>
      </c>
      <c r="O31" s="9">
        <f t="shared" si="37"/>
        <v>0</v>
      </c>
      <c r="P31" s="9">
        <f t="shared" si="37"/>
        <v>0</v>
      </c>
      <c r="Q31" s="9">
        <f t="shared" si="37"/>
        <v>261.92893401015226</v>
      </c>
      <c r="R31" s="6" t="s">
        <v>12</v>
      </c>
      <c r="S31" s="9">
        <f t="shared" ref="S31:Y31" si="38">S30/S29*100</f>
        <v>78.571428571428569</v>
      </c>
      <c r="T31" s="9">
        <f t="shared" si="38"/>
        <v>48.306862451303566</v>
      </c>
      <c r="U31" s="9">
        <f t="shared" si="38"/>
        <v>47.434119278779477</v>
      </c>
      <c r="V31" s="9">
        <f t="shared" si="38"/>
        <v>0</v>
      </c>
      <c r="W31" s="9">
        <f t="shared" si="38"/>
        <v>0</v>
      </c>
      <c r="X31" s="9">
        <f t="shared" si="38"/>
        <v>0</v>
      </c>
      <c r="Y31" s="9">
        <f t="shared" si="38"/>
        <v>55.317428224828149</v>
      </c>
      <c r="AA31" s="6" t="s">
        <v>12</v>
      </c>
      <c r="AB31" s="9">
        <f t="shared" ref="AB31:AH31" si="39">AB30/AB29*100</f>
        <v>181.4814814814815</v>
      </c>
      <c r="AC31" s="9">
        <f t="shared" si="39"/>
        <v>44.370860927152314</v>
      </c>
      <c r="AD31" s="9">
        <f t="shared" si="39"/>
        <v>49.193548387096776</v>
      </c>
      <c r="AE31" s="9">
        <f t="shared" si="39"/>
        <v>0</v>
      </c>
      <c r="AF31" s="9">
        <f>AF30/AF29*100</f>
        <v>0</v>
      </c>
      <c r="AG31" s="9" t="e">
        <f t="shared" si="39"/>
        <v>#DIV/0!</v>
      </c>
      <c r="AH31" s="9">
        <f t="shared" si="39"/>
        <v>50.833333333333329</v>
      </c>
      <c r="AJ31" s="6" t="s">
        <v>12</v>
      </c>
      <c r="AK31" s="9">
        <f>AK30/AK29*100</f>
        <v>59.420289855072447</v>
      </c>
      <c r="AL31" s="9">
        <f>AL30/AL29*100</f>
        <v>20.689655172413794</v>
      </c>
      <c r="AM31" s="9">
        <f>AM30/AM29*100</f>
        <v>19.607843137254903</v>
      </c>
      <c r="AN31" s="9"/>
      <c r="AO31" s="9">
        <f>AO30/AO29*100</f>
        <v>0</v>
      </c>
      <c r="AP31" s="9"/>
      <c r="AQ31" s="9">
        <f>AQ30/AQ29*100</f>
        <v>20.28397565922921</v>
      </c>
    </row>
    <row r="32" spans="1:43">
      <c r="A32" s="6" t="s">
        <v>27</v>
      </c>
      <c r="B32" s="47">
        <f t="shared" ref="B32:H33" si="40">K32+S32+AK32</f>
        <v>0</v>
      </c>
      <c r="C32" s="29">
        <f t="shared" si="40"/>
        <v>0</v>
      </c>
      <c r="D32" s="29">
        <f t="shared" si="40"/>
        <v>0</v>
      </c>
      <c r="E32" s="29">
        <f t="shared" si="40"/>
        <v>0</v>
      </c>
      <c r="F32" s="29">
        <f t="shared" si="40"/>
        <v>0</v>
      </c>
      <c r="G32" s="29">
        <f t="shared" si="40"/>
        <v>0</v>
      </c>
      <c r="H32" s="29">
        <f t="shared" si="40"/>
        <v>0</v>
      </c>
      <c r="J32" s="6" t="s">
        <v>27</v>
      </c>
      <c r="K32" s="15"/>
      <c r="L32" s="16"/>
      <c r="M32" s="16">
        <f>N32+O32+P32+Q32</f>
        <v>0</v>
      </c>
      <c r="N32" s="16">
        <v>0</v>
      </c>
      <c r="O32" s="16">
        <v>0</v>
      </c>
      <c r="P32" s="16">
        <v>0</v>
      </c>
      <c r="Q32" s="16">
        <v>0</v>
      </c>
      <c r="R32" s="6" t="s">
        <v>27</v>
      </c>
      <c r="S32" s="50"/>
      <c r="T32" s="50"/>
      <c r="U32" s="50">
        <f>V32+W32+X32+Y32</f>
        <v>0</v>
      </c>
      <c r="V32" s="50"/>
      <c r="W32" s="50"/>
      <c r="X32" s="50"/>
      <c r="Y32" s="50"/>
      <c r="AA32" s="6" t="s">
        <v>27</v>
      </c>
      <c r="AB32" s="15"/>
      <c r="AC32" s="16">
        <v>0</v>
      </c>
      <c r="AD32" s="16">
        <f>AE32+AF32+AG32+AH32</f>
        <v>0</v>
      </c>
      <c r="AE32" s="16">
        <v>0</v>
      </c>
      <c r="AF32" s="16">
        <v>0</v>
      </c>
      <c r="AG32" s="16">
        <v>0</v>
      </c>
      <c r="AH32" s="16">
        <v>0</v>
      </c>
      <c r="AJ32" s="6" t="s">
        <v>27</v>
      </c>
      <c r="AK32" s="15"/>
      <c r="AL32" s="16"/>
      <c r="AM32" s="16">
        <f>AN32+AO32+AP32+AQ32</f>
        <v>0</v>
      </c>
      <c r="AN32" s="16">
        <v>0</v>
      </c>
      <c r="AO32" s="16">
        <v>0</v>
      </c>
      <c r="AP32" s="16">
        <v>0</v>
      </c>
      <c r="AQ32" s="16">
        <v>0</v>
      </c>
    </row>
    <row r="33" spans="1:43">
      <c r="A33" s="6" t="s">
        <v>28</v>
      </c>
      <c r="B33" s="27">
        <f t="shared" si="40"/>
        <v>0</v>
      </c>
      <c r="C33" s="26">
        <f t="shared" si="40"/>
        <v>0</v>
      </c>
      <c r="D33" s="26">
        <f t="shared" si="40"/>
        <v>0</v>
      </c>
      <c r="E33" s="26">
        <f t="shared" si="40"/>
        <v>0</v>
      </c>
      <c r="F33" s="26">
        <f t="shared" si="40"/>
        <v>0</v>
      </c>
      <c r="G33" s="26">
        <f t="shared" si="40"/>
        <v>0</v>
      </c>
      <c r="H33" s="26">
        <f t="shared" si="40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0"/>
      <c r="T33" s="30"/>
      <c r="U33" s="30"/>
      <c r="V33" s="30"/>
      <c r="W33" s="30"/>
      <c r="X33" s="30"/>
      <c r="Y33" s="30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6"/>
      <c r="C34" s="26"/>
      <c r="D34" s="26"/>
      <c r="E34" s="26"/>
      <c r="F34" s="26"/>
      <c r="G34" s="26"/>
      <c r="H34" s="26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191"/>
      <c r="T34" s="191"/>
      <c r="U34" s="191"/>
      <c r="V34" s="191"/>
      <c r="W34" s="191"/>
      <c r="X34" s="191"/>
      <c r="Y34" s="191"/>
      <c r="AA34" s="6" t="s">
        <v>12</v>
      </c>
      <c r="AB34" s="26"/>
      <c r="AC34" s="26"/>
      <c r="AD34" s="26"/>
      <c r="AE34" s="26"/>
      <c r="AF34" s="26"/>
      <c r="AG34" s="26"/>
      <c r="AH34" s="26"/>
      <c r="AJ34" s="6" t="s">
        <v>12</v>
      </c>
      <c r="AK34" s="26"/>
      <c r="AL34" s="26"/>
      <c r="AM34" s="26"/>
      <c r="AN34" s="26"/>
      <c r="AO34" s="26"/>
      <c r="AP34" s="26"/>
      <c r="AQ34" s="26"/>
    </row>
    <row r="35" spans="1:43">
      <c r="A35" s="6" t="s">
        <v>29</v>
      </c>
      <c r="B35" s="47">
        <f t="shared" ref="B35:H36" si="41">K35+S35+AK35</f>
        <v>52.3</v>
      </c>
      <c r="C35" s="29">
        <f t="shared" si="41"/>
        <v>3968</v>
      </c>
      <c r="D35" s="29">
        <f t="shared" si="41"/>
        <v>3529</v>
      </c>
      <c r="E35" s="29">
        <f t="shared" si="41"/>
        <v>0</v>
      </c>
      <c r="F35" s="29">
        <f t="shared" si="41"/>
        <v>547</v>
      </c>
      <c r="G35" s="29">
        <f t="shared" si="41"/>
        <v>82</v>
      </c>
      <c r="H35" s="29">
        <f t="shared" si="41"/>
        <v>2900</v>
      </c>
      <c r="J35" s="6" t="s">
        <v>29</v>
      </c>
      <c r="K35" s="15"/>
      <c r="L35" s="16">
        <f>25+40+1+13+22</f>
        <v>101</v>
      </c>
      <c r="M35" s="16">
        <f>N35+O35+P35+Q35</f>
        <v>89</v>
      </c>
      <c r="N35" s="16"/>
      <c r="O35" s="16">
        <f>3+5+1+3</f>
        <v>12</v>
      </c>
      <c r="P35" s="16">
        <f>1+1</f>
        <v>2</v>
      </c>
      <c r="Q35" s="16">
        <f>18+30+1+10+16</f>
        <v>75</v>
      </c>
      <c r="R35" s="6" t="s">
        <v>29</v>
      </c>
      <c r="S35" s="50">
        <f>0+52.3</f>
        <v>52.3</v>
      </c>
      <c r="T35" s="50">
        <f>91+3754</f>
        <v>3845</v>
      </c>
      <c r="U35" s="50">
        <f>V35+W35+X35+Y35</f>
        <v>3420</v>
      </c>
      <c r="V35" s="50">
        <v>0</v>
      </c>
      <c r="W35" s="50">
        <f>6+526</f>
        <v>532</v>
      </c>
      <c r="X35" s="50">
        <f>4+75</f>
        <v>79</v>
      </c>
      <c r="Y35" s="50">
        <f>69+2740</f>
        <v>2809</v>
      </c>
      <c r="AA35" s="6" t="s">
        <v>29</v>
      </c>
      <c r="AB35" s="15"/>
      <c r="AC35" s="16">
        <v>0</v>
      </c>
      <c r="AD35" s="16">
        <f>AE35+AF35+AG35+AH35</f>
        <v>0</v>
      </c>
      <c r="AE35" s="16">
        <v>0</v>
      </c>
      <c r="AF35" s="16">
        <v>0</v>
      </c>
      <c r="AG35" s="16">
        <v>0</v>
      </c>
      <c r="AH35" s="16">
        <v>0</v>
      </c>
      <c r="AJ35" s="6" t="s">
        <v>29</v>
      </c>
      <c r="AK35" s="15"/>
      <c r="AL35" s="16">
        <v>22</v>
      </c>
      <c r="AM35" s="16">
        <f>AN35+AO35+AP35+AQ35</f>
        <v>20</v>
      </c>
      <c r="AN35" s="16"/>
      <c r="AO35" s="16">
        <v>3</v>
      </c>
      <c r="AP35" s="16">
        <v>1</v>
      </c>
      <c r="AQ35" s="16">
        <v>16</v>
      </c>
    </row>
    <row r="36" spans="1:43">
      <c r="A36" s="6" t="s">
        <v>30</v>
      </c>
      <c r="B36" s="27">
        <f t="shared" si="41"/>
        <v>29.4</v>
      </c>
      <c r="C36" s="26">
        <f t="shared" si="41"/>
        <v>3141</v>
      </c>
      <c r="D36" s="26">
        <f t="shared" si="41"/>
        <v>2766</v>
      </c>
      <c r="E36" s="26">
        <f t="shared" si="41"/>
        <v>53</v>
      </c>
      <c r="F36" s="26">
        <f t="shared" si="41"/>
        <v>148</v>
      </c>
      <c r="G36" s="26">
        <f t="shared" si="41"/>
        <v>18</v>
      </c>
      <c r="H36" s="26">
        <f t="shared" si="41"/>
        <v>2547</v>
      </c>
      <c r="J36" s="6" t="s">
        <v>30</v>
      </c>
      <c r="K36" s="6"/>
      <c r="L36" s="6">
        <v>24</v>
      </c>
      <c r="M36" s="9">
        <f>N36+O36+P36+Q36</f>
        <v>21</v>
      </c>
      <c r="N36" s="6"/>
      <c r="O36" s="6"/>
      <c r="P36" s="6"/>
      <c r="Q36" s="6">
        <v>21</v>
      </c>
      <c r="R36" s="6" t="s">
        <v>30</v>
      </c>
      <c r="S36" s="30">
        <v>29.4</v>
      </c>
      <c r="T36" s="30">
        <v>3117</v>
      </c>
      <c r="U36" s="30">
        <f>V36+W36+X36+Y36</f>
        <v>2745</v>
      </c>
      <c r="V36" s="30">
        <v>53</v>
      </c>
      <c r="W36" s="30">
        <v>148</v>
      </c>
      <c r="X36" s="30">
        <v>18</v>
      </c>
      <c r="Y36" s="30">
        <v>2526</v>
      </c>
      <c r="AA36" s="6" t="s">
        <v>30</v>
      </c>
      <c r="AB36" s="6"/>
      <c r="AC36" s="6"/>
      <c r="AD36" s="9">
        <f>AE36+AF36+AG36+AH36</f>
        <v>0</v>
      </c>
      <c r="AE36" s="6"/>
      <c r="AF36" s="6"/>
      <c r="AG36" s="6"/>
      <c r="AH36" s="6"/>
      <c r="AJ36" s="6" t="s">
        <v>30</v>
      </c>
      <c r="AK36" s="27"/>
      <c r="AL36" s="6"/>
      <c r="AM36" s="9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9">
        <f t="shared" ref="B37:H37" si="42">B36/B35*100</f>
        <v>56.214149139579348</v>
      </c>
      <c r="C37" s="9">
        <f t="shared" si="42"/>
        <v>79.158266129032256</v>
      </c>
      <c r="D37" s="9">
        <f t="shared" si="42"/>
        <v>78.379144233493903</v>
      </c>
      <c r="E37" s="9" t="e">
        <f t="shared" si="42"/>
        <v>#DIV/0!</v>
      </c>
      <c r="F37" s="9">
        <f t="shared" si="42"/>
        <v>27.056672760511884</v>
      </c>
      <c r="G37" s="9">
        <f t="shared" si="42"/>
        <v>21.951219512195124</v>
      </c>
      <c r="H37" s="9">
        <f t="shared" si="42"/>
        <v>87.827586206896541</v>
      </c>
      <c r="J37" s="6" t="s">
        <v>12</v>
      </c>
      <c r="K37" s="9" t="e">
        <f t="shared" ref="K37:Q37" si="43">K36/K35*100</f>
        <v>#DIV/0!</v>
      </c>
      <c r="L37" s="9">
        <f t="shared" si="43"/>
        <v>23.762376237623762</v>
      </c>
      <c r="M37" s="9">
        <f t="shared" si="43"/>
        <v>23.595505617977526</v>
      </c>
      <c r="N37" s="9" t="e">
        <f t="shared" si="43"/>
        <v>#DIV/0!</v>
      </c>
      <c r="O37" s="9">
        <f>O36/O35*100</f>
        <v>0</v>
      </c>
      <c r="P37" s="9">
        <f t="shared" si="43"/>
        <v>0</v>
      </c>
      <c r="Q37" s="9">
        <f t="shared" si="43"/>
        <v>28.000000000000004</v>
      </c>
      <c r="R37" s="6" t="s">
        <v>12</v>
      </c>
      <c r="S37" s="9">
        <f t="shared" ref="S37:Y37" si="44">S36/S35*100</f>
        <v>56.214149139579348</v>
      </c>
      <c r="T37" s="9">
        <f t="shared" si="44"/>
        <v>81.066319895968789</v>
      </c>
      <c r="U37" s="9">
        <f t="shared" si="44"/>
        <v>80.26315789473685</v>
      </c>
      <c r="V37" s="9" t="e">
        <f t="shared" si="44"/>
        <v>#DIV/0!</v>
      </c>
      <c r="W37" s="9">
        <f t="shared" si="44"/>
        <v>27.819548872180448</v>
      </c>
      <c r="X37" s="9">
        <f t="shared" si="44"/>
        <v>22.784810126582279</v>
      </c>
      <c r="Y37" s="9">
        <f t="shared" si="44"/>
        <v>89.925240299038805</v>
      </c>
      <c r="AA37" s="6" t="s">
        <v>12</v>
      </c>
      <c r="AB37" s="26"/>
      <c r="AC37" s="26"/>
      <c r="AD37" s="26"/>
      <c r="AE37" s="26"/>
      <c r="AF37" s="26"/>
      <c r="AG37" s="26"/>
      <c r="AH37" s="26"/>
      <c r="AJ37" s="6" t="s">
        <v>12</v>
      </c>
      <c r="AK37" s="9" t="e">
        <f>AK36/AK35*100</f>
        <v>#DIV/0!</v>
      </c>
      <c r="AL37" s="9">
        <f>AL36/AL35*100</f>
        <v>0</v>
      </c>
      <c r="AM37" s="9">
        <f>AM36/AM35*100</f>
        <v>0</v>
      </c>
      <c r="AN37" s="9"/>
      <c r="AO37" s="9">
        <f>AO36/AO35*100</f>
        <v>0</v>
      </c>
      <c r="AP37" s="9">
        <f>AP36/AP35*100</f>
        <v>0</v>
      </c>
      <c r="AQ37" s="9">
        <f>AQ36/AQ35*100</f>
        <v>0</v>
      </c>
    </row>
    <row r="38" spans="1:43">
      <c r="A38" s="6" t="s">
        <v>31</v>
      </c>
      <c r="B38" s="47">
        <f t="shared" ref="B38:H39" si="45">K38+S38+AK38</f>
        <v>265</v>
      </c>
      <c r="C38" s="29">
        <f t="shared" si="45"/>
        <v>9015</v>
      </c>
      <c r="D38" s="29">
        <f t="shared" si="45"/>
        <v>7637</v>
      </c>
      <c r="E38" s="29">
        <f t="shared" si="45"/>
        <v>839</v>
      </c>
      <c r="F38" s="29">
        <f t="shared" si="45"/>
        <v>856</v>
      </c>
      <c r="G38" s="29">
        <f t="shared" si="45"/>
        <v>164</v>
      </c>
      <c r="H38" s="29">
        <f t="shared" si="45"/>
        <v>5778</v>
      </c>
      <c r="J38" s="6" t="s">
        <v>31</v>
      </c>
      <c r="K38" s="15">
        <f>146.4-4.2-2.8</f>
        <v>139.4</v>
      </c>
      <c r="L38" s="16">
        <v>3790</v>
      </c>
      <c r="M38" s="16">
        <f>N38+O38+P38+Q38</f>
        <v>3217</v>
      </c>
      <c r="N38" s="16">
        <v>342</v>
      </c>
      <c r="O38" s="16">
        <v>616</v>
      </c>
      <c r="P38" s="16">
        <v>105</v>
      </c>
      <c r="Q38" s="16">
        <v>2154</v>
      </c>
      <c r="R38" s="6" t="s">
        <v>31</v>
      </c>
      <c r="S38" s="48">
        <f>13.5+91+8.7</f>
        <v>113.2</v>
      </c>
      <c r="T38" s="50">
        <f>1292+2470+398</f>
        <v>4160</v>
      </c>
      <c r="U38" s="50">
        <f>V38+W38+X38+Y38</f>
        <v>3484</v>
      </c>
      <c r="V38" s="50">
        <f>269+218</f>
        <v>487</v>
      </c>
      <c r="W38" s="50">
        <f>58+170</f>
        <v>228</v>
      </c>
      <c r="X38" s="50">
        <f>13+25+11</f>
        <v>49</v>
      </c>
      <c r="Y38" s="50">
        <f>778+1654+288</f>
        <v>2720</v>
      </c>
      <c r="AA38" s="6" t="s">
        <v>31</v>
      </c>
      <c r="AB38" s="15">
        <v>13.5</v>
      </c>
      <c r="AC38" s="16">
        <v>1292</v>
      </c>
      <c r="AD38" s="16">
        <f>AE38+AF38+AG38+AH38</f>
        <v>1118</v>
      </c>
      <c r="AE38" s="16">
        <v>269</v>
      </c>
      <c r="AF38" s="16">
        <v>58</v>
      </c>
      <c r="AG38" s="16">
        <v>13</v>
      </c>
      <c r="AH38" s="16">
        <v>778</v>
      </c>
      <c r="AJ38" s="6" t="s">
        <v>31</v>
      </c>
      <c r="AK38" s="15">
        <v>12.4</v>
      </c>
      <c r="AL38" s="16">
        <v>1065</v>
      </c>
      <c r="AM38" s="16">
        <f>AN38+AO38+AP38+AQ38</f>
        <v>936</v>
      </c>
      <c r="AN38" s="16">
        <v>10</v>
      </c>
      <c r="AO38" s="16">
        <v>12</v>
      </c>
      <c r="AP38" s="16">
        <v>10</v>
      </c>
      <c r="AQ38" s="16">
        <v>904</v>
      </c>
    </row>
    <row r="39" spans="1:43">
      <c r="A39" s="6" t="s">
        <v>32</v>
      </c>
      <c r="B39" s="27">
        <f t="shared" si="45"/>
        <v>239.2</v>
      </c>
      <c r="C39" s="26">
        <f t="shared" si="45"/>
        <v>12119</v>
      </c>
      <c r="D39" s="26">
        <f t="shared" si="45"/>
        <v>10552</v>
      </c>
      <c r="E39" s="26">
        <f t="shared" si="45"/>
        <v>334</v>
      </c>
      <c r="F39" s="26">
        <f t="shared" si="45"/>
        <v>1440</v>
      </c>
      <c r="G39" s="26">
        <f t="shared" si="45"/>
        <v>40</v>
      </c>
      <c r="H39" s="26">
        <f t="shared" si="45"/>
        <v>8738</v>
      </c>
      <c r="J39" s="6" t="s">
        <v>32</v>
      </c>
      <c r="K39" s="6">
        <v>135.19999999999999</v>
      </c>
      <c r="L39" s="6">
        <v>6151</v>
      </c>
      <c r="M39" s="9">
        <f>N39+O39+P39+Q39</f>
        <v>5320</v>
      </c>
      <c r="N39" s="6">
        <v>122</v>
      </c>
      <c r="O39" s="6">
        <v>824</v>
      </c>
      <c r="P39" s="6"/>
      <c r="Q39" s="6">
        <v>4374</v>
      </c>
      <c r="R39" s="6" t="s">
        <v>32</v>
      </c>
      <c r="S39" s="24">
        <v>104</v>
      </c>
      <c r="T39" s="30">
        <v>5968</v>
      </c>
      <c r="U39" s="30">
        <f>V39+W39+X39+Y39</f>
        <v>5232</v>
      </c>
      <c r="V39" s="30">
        <v>212</v>
      </c>
      <c r="W39" s="30">
        <v>616</v>
      </c>
      <c r="X39" s="30">
        <v>40</v>
      </c>
      <c r="Y39" s="30">
        <v>4364</v>
      </c>
      <c r="AA39" s="6" t="s">
        <v>32</v>
      </c>
      <c r="AB39" s="6">
        <v>4.0999999999999996</v>
      </c>
      <c r="AC39" s="6">
        <v>144</v>
      </c>
      <c r="AD39" s="9">
        <f>AE39+AF39+AG39+AH39</f>
        <v>129</v>
      </c>
      <c r="AE39" s="6"/>
      <c r="AF39" s="6"/>
      <c r="AG39" s="6"/>
      <c r="AH39" s="6">
        <v>129</v>
      </c>
      <c r="AJ39" s="6" t="s">
        <v>32</v>
      </c>
      <c r="AK39" s="6"/>
      <c r="AL39" s="6"/>
      <c r="AM39" s="9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9">
        <f t="shared" ref="B40:H40" si="46">B39/B38*100</f>
        <v>90.264150943396231</v>
      </c>
      <c r="C40" s="9">
        <f t="shared" si="46"/>
        <v>134.43150305047143</v>
      </c>
      <c r="D40" s="9">
        <f t="shared" si="46"/>
        <v>138.1694382610973</v>
      </c>
      <c r="E40" s="9">
        <f t="shared" si="46"/>
        <v>39.809296781883198</v>
      </c>
      <c r="F40" s="9">
        <f t="shared" si="46"/>
        <v>168.22429906542055</v>
      </c>
      <c r="G40" s="9">
        <f t="shared" si="46"/>
        <v>24.390243902439025</v>
      </c>
      <c r="H40" s="9">
        <f t="shared" si="46"/>
        <v>151.22879889235031</v>
      </c>
      <c r="J40" s="6" t="s">
        <v>12</v>
      </c>
      <c r="K40" s="9">
        <f t="shared" ref="K40:Q40" si="47">K39/K38*100</f>
        <v>96.987087517933986</v>
      </c>
      <c r="L40" s="9">
        <f t="shared" si="47"/>
        <v>162.29551451187334</v>
      </c>
      <c r="M40" s="9">
        <f t="shared" si="47"/>
        <v>165.37146409698477</v>
      </c>
      <c r="N40" s="9">
        <f t="shared" si="47"/>
        <v>35.672514619883039</v>
      </c>
      <c r="O40" s="9">
        <f t="shared" si="47"/>
        <v>133.76623376623377</v>
      </c>
      <c r="P40" s="9">
        <f t="shared" si="47"/>
        <v>0</v>
      </c>
      <c r="Q40" s="9">
        <f t="shared" si="47"/>
        <v>203.06406685236769</v>
      </c>
      <c r="R40" s="6" t="s">
        <v>12</v>
      </c>
      <c r="S40" s="9">
        <f t="shared" ref="S40:Y40" si="48">S39/S38*100</f>
        <v>91.872791519434628</v>
      </c>
      <c r="T40" s="9">
        <f t="shared" si="48"/>
        <v>143.46153846153845</v>
      </c>
      <c r="U40" s="9">
        <f t="shared" si="48"/>
        <v>150.17221584385763</v>
      </c>
      <c r="V40" s="9">
        <f t="shared" si="48"/>
        <v>43.531827515400408</v>
      </c>
      <c r="W40" s="9">
        <f t="shared" si="48"/>
        <v>270.17543859649123</v>
      </c>
      <c r="X40" s="9">
        <f t="shared" si="48"/>
        <v>81.632653061224488</v>
      </c>
      <c r="Y40" s="9">
        <f t="shared" si="48"/>
        <v>160.44117647058823</v>
      </c>
      <c r="AA40" s="6" t="s">
        <v>12</v>
      </c>
      <c r="AB40" s="9">
        <f t="shared" ref="AB40:AH40" si="49">AB39/AB38*100</f>
        <v>30.37037037037037</v>
      </c>
      <c r="AC40" s="9">
        <f t="shared" si="49"/>
        <v>11.145510835913312</v>
      </c>
      <c r="AD40" s="9">
        <f t="shared" si="49"/>
        <v>11.538461538461538</v>
      </c>
      <c r="AE40" s="9">
        <f t="shared" si="49"/>
        <v>0</v>
      </c>
      <c r="AF40" s="9">
        <f t="shared" si="49"/>
        <v>0</v>
      </c>
      <c r="AG40" s="9">
        <f t="shared" si="49"/>
        <v>0</v>
      </c>
      <c r="AH40" s="9">
        <f t="shared" si="49"/>
        <v>16.580976863753214</v>
      </c>
      <c r="AJ40" s="6" t="s">
        <v>12</v>
      </c>
      <c r="AK40" s="9">
        <f>AK39/AK38*100</f>
        <v>0</v>
      </c>
      <c r="AL40" s="9">
        <f>AL39/AL38*100</f>
        <v>0</v>
      </c>
      <c r="AM40" s="9">
        <f>AM39/AM38*100</f>
        <v>0</v>
      </c>
      <c r="AN40" s="9"/>
      <c r="AO40" s="9">
        <f>AO39/AO38*100</f>
        <v>0</v>
      </c>
      <c r="AP40" s="9">
        <f>AP39/AP38*100</f>
        <v>0</v>
      </c>
      <c r="AQ40" s="9">
        <f>AQ39/AQ38*100</f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50">K9+S9+AK9</f>
        <v>832.99999999999989</v>
      </c>
      <c r="C46" s="83">
        <f t="shared" si="50"/>
        <v>45348</v>
      </c>
      <c r="D46" s="83">
        <f t="shared" si="50"/>
        <v>38565</v>
      </c>
      <c r="E46" s="83">
        <f t="shared" si="50"/>
        <v>4170</v>
      </c>
      <c r="F46" s="83">
        <f t="shared" si="50"/>
        <v>5668</v>
      </c>
      <c r="G46" s="83">
        <f t="shared" si="50"/>
        <v>1100</v>
      </c>
      <c r="H46" s="83">
        <f t="shared" si="50"/>
        <v>27627</v>
      </c>
    </row>
    <row r="47" spans="1:43">
      <c r="A47" s="84" t="s">
        <v>50</v>
      </c>
      <c r="B47" s="83">
        <f t="shared" si="50"/>
        <v>742.69999999999993</v>
      </c>
      <c r="C47" s="83">
        <f t="shared" si="50"/>
        <v>35903</v>
      </c>
      <c r="D47" s="83">
        <f t="shared" si="50"/>
        <v>31500</v>
      </c>
      <c r="E47" s="83">
        <f t="shared" si="50"/>
        <v>1847</v>
      </c>
      <c r="F47" s="83">
        <f t="shared" si="50"/>
        <v>4627</v>
      </c>
      <c r="G47" s="83">
        <f t="shared" si="50"/>
        <v>90</v>
      </c>
      <c r="H47" s="83">
        <f t="shared" si="50"/>
        <v>24936</v>
      </c>
    </row>
    <row r="48" spans="1:43">
      <c r="A48" s="85" t="s">
        <v>44</v>
      </c>
      <c r="B48" s="86">
        <f>B47/B46*100</f>
        <v>89.159663865546221</v>
      </c>
      <c r="C48" s="86">
        <f t="shared" ref="C48:H48" si="51">C47/C46*100</f>
        <v>79.17217958895651</v>
      </c>
      <c r="D48" s="86">
        <f t="shared" si="51"/>
        <v>81.680280046674454</v>
      </c>
      <c r="E48" s="86">
        <f t="shared" si="51"/>
        <v>44.29256594724221</v>
      </c>
      <c r="F48" s="86">
        <f t="shared" si="51"/>
        <v>81.633733239237827</v>
      </c>
      <c r="G48" s="86">
        <f t="shared" si="51"/>
        <v>8.1818181818181817</v>
      </c>
      <c r="H48" s="86">
        <f t="shared" si="51"/>
        <v>90.259528721902484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2">K13+S13+AK13</f>
        <v>116.60000000000001</v>
      </c>
      <c r="C50" s="90">
        <f t="shared" si="52"/>
        <v>7691</v>
      </c>
      <c r="D50" s="90">
        <f t="shared" si="52"/>
        <v>6122</v>
      </c>
      <c r="E50" s="90">
        <f t="shared" si="52"/>
        <v>580</v>
      </c>
      <c r="F50" s="90">
        <f t="shared" si="52"/>
        <v>2597</v>
      </c>
      <c r="G50" s="90">
        <f t="shared" si="52"/>
        <v>499</v>
      </c>
      <c r="H50" s="90">
        <f t="shared" si="52"/>
        <v>2446</v>
      </c>
    </row>
    <row r="51" spans="1:8">
      <c r="A51" s="75" t="s">
        <v>50</v>
      </c>
      <c r="B51" s="90">
        <f t="shared" si="52"/>
        <v>56.300000000000004</v>
      </c>
      <c r="C51" s="90">
        <f t="shared" si="52"/>
        <v>2548</v>
      </c>
      <c r="D51" s="90">
        <f t="shared" si="52"/>
        <v>2246</v>
      </c>
      <c r="E51" s="90">
        <f t="shared" si="52"/>
        <v>416</v>
      </c>
      <c r="F51" s="90">
        <f t="shared" si="52"/>
        <v>849</v>
      </c>
      <c r="G51" s="90">
        <f t="shared" si="52"/>
        <v>27</v>
      </c>
      <c r="H51" s="90">
        <f t="shared" si="52"/>
        <v>954</v>
      </c>
    </row>
    <row r="52" spans="1:8">
      <c r="A52" s="75" t="s">
        <v>44</v>
      </c>
      <c r="B52" s="91">
        <f t="shared" ref="B52:H52" si="53">B51/B50*100</f>
        <v>48.284734133790735</v>
      </c>
      <c r="C52" s="91">
        <f t="shared" si="53"/>
        <v>33.129632037446363</v>
      </c>
      <c r="D52" s="91">
        <f t="shared" si="53"/>
        <v>36.687357072852009</v>
      </c>
      <c r="E52" s="91">
        <f t="shared" si="53"/>
        <v>71.724137931034477</v>
      </c>
      <c r="F52" s="91">
        <f t="shared" si="53"/>
        <v>32.691567192914903</v>
      </c>
      <c r="G52" s="91">
        <f t="shared" si="53"/>
        <v>5.4108216432865728</v>
      </c>
      <c r="H52" s="91">
        <f t="shared" si="53"/>
        <v>39.002452984464433</v>
      </c>
    </row>
    <row r="53" spans="1:8">
      <c r="A53" s="75" t="s">
        <v>13</v>
      </c>
      <c r="B53" s="90">
        <f t="shared" ref="B53:H55" si="54">K16+S16+AK16</f>
        <v>35.299999999999997</v>
      </c>
      <c r="C53" s="90">
        <f t="shared" si="54"/>
        <v>1426</v>
      </c>
      <c r="D53" s="90">
        <f t="shared" si="54"/>
        <v>1229</v>
      </c>
      <c r="E53" s="90">
        <f t="shared" si="54"/>
        <v>209</v>
      </c>
      <c r="F53" s="90">
        <f t="shared" si="54"/>
        <v>457</v>
      </c>
      <c r="G53" s="90">
        <f t="shared" si="54"/>
        <v>22</v>
      </c>
      <c r="H53" s="90">
        <f t="shared" si="54"/>
        <v>541</v>
      </c>
    </row>
    <row r="54" spans="1:8">
      <c r="A54" s="92" t="s">
        <v>14</v>
      </c>
      <c r="B54" s="90">
        <f t="shared" si="54"/>
        <v>0.3</v>
      </c>
      <c r="C54" s="90">
        <f t="shared" si="54"/>
        <v>21</v>
      </c>
      <c r="D54" s="90">
        <f t="shared" si="54"/>
        <v>20</v>
      </c>
      <c r="E54" s="90">
        <f t="shared" si="54"/>
        <v>0</v>
      </c>
      <c r="F54" s="90">
        <f t="shared" si="54"/>
        <v>8</v>
      </c>
      <c r="G54" s="90">
        <f t="shared" si="54"/>
        <v>1</v>
      </c>
      <c r="H54" s="90">
        <f t="shared" si="54"/>
        <v>11</v>
      </c>
    </row>
    <row r="55" spans="1:8">
      <c r="A55" s="75" t="s">
        <v>15</v>
      </c>
      <c r="B55" s="90">
        <f t="shared" si="54"/>
        <v>0</v>
      </c>
      <c r="C55" s="90">
        <f t="shared" si="54"/>
        <v>0</v>
      </c>
      <c r="D55" s="90">
        <f t="shared" si="54"/>
        <v>0</v>
      </c>
      <c r="E55" s="90">
        <f t="shared" si="54"/>
        <v>0</v>
      </c>
      <c r="F55" s="90">
        <f t="shared" si="54"/>
        <v>0</v>
      </c>
      <c r="G55" s="90">
        <f t="shared" si="54"/>
        <v>0</v>
      </c>
      <c r="H55" s="90">
        <f t="shared" si="5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5">K20+S20+AK20</f>
        <v>716.4</v>
      </c>
      <c r="C57" s="90">
        <f t="shared" si="55"/>
        <v>37657</v>
      </c>
      <c r="D57" s="90">
        <f t="shared" si="55"/>
        <v>32443</v>
      </c>
      <c r="E57" s="90">
        <f t="shared" si="55"/>
        <v>3590</v>
      </c>
      <c r="F57" s="90">
        <f t="shared" si="55"/>
        <v>3071</v>
      </c>
      <c r="G57" s="90">
        <f t="shared" si="55"/>
        <v>601</v>
      </c>
      <c r="H57" s="90">
        <f t="shared" si="55"/>
        <v>25181</v>
      </c>
    </row>
    <row r="58" spans="1:8">
      <c r="A58" s="92" t="s">
        <v>50</v>
      </c>
      <c r="B58" s="90">
        <f t="shared" si="55"/>
        <v>686.40000000000009</v>
      </c>
      <c r="C58" s="90">
        <f t="shared" si="55"/>
        <v>33355</v>
      </c>
      <c r="D58" s="90">
        <f t="shared" si="55"/>
        <v>29254</v>
      </c>
      <c r="E58" s="90">
        <f t="shared" si="55"/>
        <v>1431</v>
      </c>
      <c r="F58" s="90">
        <f t="shared" si="55"/>
        <v>3778</v>
      </c>
      <c r="G58" s="90">
        <f t="shared" si="55"/>
        <v>63</v>
      </c>
      <c r="H58" s="90">
        <f t="shared" si="55"/>
        <v>23982</v>
      </c>
    </row>
    <row r="59" spans="1:8">
      <c r="A59" s="75" t="s">
        <v>44</v>
      </c>
      <c r="B59" s="91">
        <f t="shared" ref="B59:H59" si="56">B58/B57*100</f>
        <v>95.81239530988276</v>
      </c>
      <c r="C59" s="91">
        <f t="shared" si="56"/>
        <v>88.575829195103168</v>
      </c>
      <c r="D59" s="91">
        <f t="shared" si="56"/>
        <v>90.170452794131251</v>
      </c>
      <c r="E59" s="91">
        <f t="shared" si="56"/>
        <v>39.860724233983284</v>
      </c>
      <c r="F59" s="91">
        <f t="shared" si="56"/>
        <v>123.02181699772061</v>
      </c>
      <c r="G59" s="91">
        <f t="shared" si="56"/>
        <v>10.482529118136439</v>
      </c>
      <c r="H59" s="91">
        <f t="shared" si="56"/>
        <v>95.238473452206023</v>
      </c>
    </row>
    <row r="60" spans="1:8">
      <c r="A60" s="75" t="s">
        <v>21</v>
      </c>
      <c r="B60" s="90">
        <f t="shared" ref="B60:H61" si="57">K23+S23+AK23</f>
        <v>246.20000000000002</v>
      </c>
      <c r="C60" s="90">
        <f t="shared" si="57"/>
        <v>14070</v>
      </c>
      <c r="D60" s="90">
        <f t="shared" si="57"/>
        <v>12109</v>
      </c>
      <c r="E60" s="90">
        <f t="shared" si="57"/>
        <v>2261</v>
      </c>
      <c r="F60" s="90">
        <f t="shared" si="57"/>
        <v>1205</v>
      </c>
      <c r="G60" s="90">
        <f t="shared" si="57"/>
        <v>253</v>
      </c>
      <c r="H60" s="90">
        <f t="shared" si="57"/>
        <v>8390</v>
      </c>
    </row>
    <row r="61" spans="1:8">
      <c r="A61" s="75" t="s">
        <v>51</v>
      </c>
      <c r="B61" s="90">
        <f t="shared" si="57"/>
        <v>235.1</v>
      </c>
      <c r="C61" s="90">
        <f t="shared" si="57"/>
        <v>11065</v>
      </c>
      <c r="D61" s="90">
        <f t="shared" si="57"/>
        <v>9717</v>
      </c>
      <c r="E61" s="90">
        <f t="shared" si="57"/>
        <v>841</v>
      </c>
      <c r="F61" s="90">
        <f t="shared" si="57"/>
        <v>1562</v>
      </c>
      <c r="G61" s="90">
        <f t="shared" si="57"/>
        <v>5</v>
      </c>
      <c r="H61" s="90">
        <f t="shared" si="57"/>
        <v>7309</v>
      </c>
    </row>
    <row r="62" spans="1:8">
      <c r="A62" s="75" t="s">
        <v>12</v>
      </c>
      <c r="B62" s="91">
        <f t="shared" ref="B62:H62" si="58">B61/B60*100</f>
        <v>95.491470349309495</v>
      </c>
      <c r="C62" s="91">
        <f t="shared" si="58"/>
        <v>78.64250177683013</v>
      </c>
      <c r="D62" s="91">
        <f t="shared" si="58"/>
        <v>80.246097943678251</v>
      </c>
      <c r="E62" s="91">
        <f t="shared" si="58"/>
        <v>37.19593100398054</v>
      </c>
      <c r="F62" s="91">
        <f t="shared" si="58"/>
        <v>129.6265560165975</v>
      </c>
      <c r="G62" s="91">
        <f t="shared" si="58"/>
        <v>1.9762845849802373</v>
      </c>
      <c r="H62" s="91">
        <f t="shared" si="58"/>
        <v>87.115613825983317</v>
      </c>
    </row>
    <row r="63" spans="1:8">
      <c r="A63" s="75" t="s">
        <v>23</v>
      </c>
      <c r="B63" s="90">
        <f t="shared" ref="B63:H64" si="59">K26+S26+AK26</f>
        <v>90.300000000000011</v>
      </c>
      <c r="C63" s="90">
        <f t="shared" si="59"/>
        <v>6410</v>
      </c>
      <c r="D63" s="90">
        <f t="shared" si="59"/>
        <v>5532</v>
      </c>
      <c r="E63" s="90">
        <f t="shared" si="59"/>
        <v>278</v>
      </c>
      <c r="F63" s="90">
        <f t="shared" si="59"/>
        <v>238</v>
      </c>
      <c r="G63" s="90">
        <f t="shared" si="59"/>
        <v>66</v>
      </c>
      <c r="H63" s="90">
        <f t="shared" si="59"/>
        <v>4950</v>
      </c>
    </row>
    <row r="64" spans="1:8">
      <c r="A64" s="75" t="s">
        <v>45</v>
      </c>
      <c r="B64" s="90">
        <f t="shared" si="59"/>
        <v>118.8</v>
      </c>
      <c r="C64" s="90">
        <f t="shared" si="59"/>
        <v>4717</v>
      </c>
      <c r="D64" s="90">
        <f t="shared" si="59"/>
        <v>4235</v>
      </c>
      <c r="E64" s="90">
        <f t="shared" si="59"/>
        <v>203</v>
      </c>
      <c r="F64" s="90">
        <f t="shared" si="59"/>
        <v>628</v>
      </c>
      <c r="G64" s="90">
        <f t="shared" si="59"/>
        <v>0</v>
      </c>
      <c r="H64" s="90">
        <f t="shared" si="59"/>
        <v>3404</v>
      </c>
    </row>
    <row r="65" spans="1:8">
      <c r="A65" s="75" t="s">
        <v>12</v>
      </c>
      <c r="B65" s="91">
        <f t="shared" ref="B65:H65" si="60">B64/B63*100</f>
        <v>131.56146179401992</v>
      </c>
      <c r="C65" s="91">
        <f t="shared" si="60"/>
        <v>73.588143525741032</v>
      </c>
      <c r="D65" s="91">
        <f t="shared" si="60"/>
        <v>76.55459146782357</v>
      </c>
      <c r="E65" s="91">
        <f t="shared" si="60"/>
        <v>73.021582733812949</v>
      </c>
      <c r="F65" s="91">
        <f t="shared" si="60"/>
        <v>263.8655462184874</v>
      </c>
      <c r="G65" s="91">
        <f t="shared" si="60"/>
        <v>0</v>
      </c>
      <c r="H65" s="91">
        <f t="shared" si="60"/>
        <v>68.767676767676761</v>
      </c>
    </row>
    <row r="66" spans="1:8">
      <c r="A66" s="75" t="s">
        <v>25</v>
      </c>
      <c r="B66" s="90">
        <f t="shared" ref="B66:H67" si="61">K29+S29+AK29</f>
        <v>62.6</v>
      </c>
      <c r="C66" s="90">
        <f t="shared" si="61"/>
        <v>4194</v>
      </c>
      <c r="D66" s="90">
        <f t="shared" si="61"/>
        <v>3636</v>
      </c>
      <c r="E66" s="90">
        <f t="shared" si="61"/>
        <v>212</v>
      </c>
      <c r="F66" s="90">
        <f t="shared" si="61"/>
        <v>225</v>
      </c>
      <c r="G66" s="90">
        <f t="shared" si="61"/>
        <v>36</v>
      </c>
      <c r="H66" s="90">
        <f t="shared" si="61"/>
        <v>3163</v>
      </c>
    </row>
    <row r="67" spans="1:8">
      <c r="A67" s="75" t="s">
        <v>46</v>
      </c>
      <c r="B67" s="90">
        <f t="shared" si="61"/>
        <v>63.9</v>
      </c>
      <c r="C67" s="90">
        <f t="shared" si="61"/>
        <v>2313</v>
      </c>
      <c r="D67" s="90">
        <f t="shared" si="61"/>
        <v>1984</v>
      </c>
      <c r="E67" s="90">
        <f t="shared" si="61"/>
        <v>0</v>
      </c>
      <c r="F67" s="90">
        <f t="shared" si="61"/>
        <v>0</v>
      </c>
      <c r="G67" s="90">
        <f t="shared" si="61"/>
        <v>0</v>
      </c>
      <c r="H67" s="90">
        <f t="shared" si="61"/>
        <v>1984</v>
      </c>
    </row>
    <row r="68" spans="1:8">
      <c r="A68" s="75" t="s">
        <v>12</v>
      </c>
      <c r="B68" s="91">
        <f t="shared" ref="B68:H68" si="62">B67/B66*100</f>
        <v>102.07667731629392</v>
      </c>
      <c r="C68" s="91">
        <f t="shared" si="62"/>
        <v>55.150214592274679</v>
      </c>
      <c r="D68" s="91">
        <f t="shared" si="62"/>
        <v>54.56545654565457</v>
      </c>
      <c r="E68" s="91">
        <f t="shared" si="62"/>
        <v>0</v>
      </c>
      <c r="F68" s="91">
        <f t="shared" si="62"/>
        <v>0</v>
      </c>
      <c r="G68" s="91">
        <f t="shared" si="62"/>
        <v>0</v>
      </c>
      <c r="H68" s="91">
        <f t="shared" si="62"/>
        <v>62.725260828327535</v>
      </c>
    </row>
    <row r="69" spans="1:8">
      <c r="A69" s="75" t="s">
        <v>27</v>
      </c>
      <c r="B69" s="90">
        <f t="shared" ref="B69:H70" si="63">K32+S32+AK32</f>
        <v>0</v>
      </c>
      <c r="C69" s="90">
        <f t="shared" si="63"/>
        <v>0</v>
      </c>
      <c r="D69" s="90">
        <f t="shared" si="63"/>
        <v>0</v>
      </c>
      <c r="E69" s="90">
        <f t="shared" si="63"/>
        <v>0</v>
      </c>
      <c r="F69" s="90">
        <f t="shared" si="63"/>
        <v>0</v>
      </c>
      <c r="G69" s="90">
        <f t="shared" si="63"/>
        <v>0</v>
      </c>
      <c r="H69" s="90">
        <f t="shared" si="63"/>
        <v>0</v>
      </c>
    </row>
    <row r="70" spans="1:8">
      <c r="A70" s="75" t="s">
        <v>47</v>
      </c>
      <c r="B70" s="90">
        <f t="shared" si="63"/>
        <v>0</v>
      </c>
      <c r="C70" s="90">
        <f t="shared" si="63"/>
        <v>0</v>
      </c>
      <c r="D70" s="90">
        <f t="shared" si="63"/>
        <v>0</v>
      </c>
      <c r="E70" s="90">
        <f t="shared" si="63"/>
        <v>0</v>
      </c>
      <c r="F70" s="90">
        <f t="shared" si="63"/>
        <v>0</v>
      </c>
      <c r="G70" s="90">
        <f t="shared" si="63"/>
        <v>0</v>
      </c>
      <c r="H70" s="90">
        <f t="shared" si="63"/>
        <v>0</v>
      </c>
    </row>
    <row r="71" spans="1:8">
      <c r="A71" s="75" t="s">
        <v>12</v>
      </c>
      <c r="B71" s="91" t="e">
        <f t="shared" ref="B71:H71" si="64">B70/B69*100</f>
        <v>#DIV/0!</v>
      </c>
      <c r="C71" s="91" t="e">
        <f t="shared" si="64"/>
        <v>#DIV/0!</v>
      </c>
      <c r="D71" s="91" t="e">
        <f t="shared" si="64"/>
        <v>#DIV/0!</v>
      </c>
      <c r="E71" s="91" t="e">
        <f t="shared" si="64"/>
        <v>#DIV/0!</v>
      </c>
      <c r="F71" s="91" t="e">
        <f t="shared" si="64"/>
        <v>#DIV/0!</v>
      </c>
      <c r="G71" s="91" t="e">
        <f t="shared" si="64"/>
        <v>#DIV/0!</v>
      </c>
      <c r="H71" s="91" t="e">
        <f t="shared" si="64"/>
        <v>#DIV/0!</v>
      </c>
    </row>
    <row r="72" spans="1:8">
      <c r="A72" s="75" t="s">
        <v>29</v>
      </c>
      <c r="B72" s="90">
        <f t="shared" ref="B72:H73" si="65">K35+S35+AK35</f>
        <v>52.3</v>
      </c>
      <c r="C72" s="90">
        <f t="shared" si="65"/>
        <v>3968</v>
      </c>
      <c r="D72" s="90">
        <f t="shared" si="65"/>
        <v>3529</v>
      </c>
      <c r="E72" s="90">
        <f t="shared" si="65"/>
        <v>0</v>
      </c>
      <c r="F72" s="90">
        <f t="shared" si="65"/>
        <v>547</v>
      </c>
      <c r="G72" s="90">
        <f t="shared" si="65"/>
        <v>82</v>
      </c>
      <c r="H72" s="90">
        <f t="shared" si="65"/>
        <v>2900</v>
      </c>
    </row>
    <row r="73" spans="1:8">
      <c r="A73" s="75" t="s">
        <v>48</v>
      </c>
      <c r="B73" s="90">
        <f t="shared" si="65"/>
        <v>29.4</v>
      </c>
      <c r="C73" s="90">
        <f t="shared" si="65"/>
        <v>3141</v>
      </c>
      <c r="D73" s="90">
        <f t="shared" si="65"/>
        <v>2766</v>
      </c>
      <c r="E73" s="90">
        <f t="shared" si="65"/>
        <v>53</v>
      </c>
      <c r="F73" s="90">
        <f t="shared" si="65"/>
        <v>148</v>
      </c>
      <c r="G73" s="90">
        <f t="shared" si="65"/>
        <v>18</v>
      </c>
      <c r="H73" s="90">
        <f t="shared" si="65"/>
        <v>2547</v>
      </c>
    </row>
    <row r="74" spans="1:8">
      <c r="A74" s="75" t="s">
        <v>12</v>
      </c>
      <c r="B74" s="91">
        <f t="shared" ref="B74:H74" si="66">B73/B72*100</f>
        <v>56.214149139579348</v>
      </c>
      <c r="C74" s="91">
        <f t="shared" si="66"/>
        <v>79.158266129032256</v>
      </c>
      <c r="D74" s="91">
        <f t="shared" si="66"/>
        <v>78.379144233493903</v>
      </c>
      <c r="E74" s="91" t="e">
        <f t="shared" si="66"/>
        <v>#DIV/0!</v>
      </c>
      <c r="F74" s="91">
        <f t="shared" si="66"/>
        <v>27.056672760511884</v>
      </c>
      <c r="G74" s="91">
        <f t="shared" si="66"/>
        <v>21.951219512195124</v>
      </c>
      <c r="H74" s="91">
        <f t="shared" si="66"/>
        <v>87.827586206896541</v>
      </c>
    </row>
    <row r="75" spans="1:8">
      <c r="A75" s="75" t="s">
        <v>31</v>
      </c>
      <c r="B75" s="90">
        <f t="shared" ref="B75:H76" si="67">K38+S38+AK38</f>
        <v>265</v>
      </c>
      <c r="C75" s="90">
        <f t="shared" si="67"/>
        <v>9015</v>
      </c>
      <c r="D75" s="90">
        <f t="shared" si="67"/>
        <v>7637</v>
      </c>
      <c r="E75" s="90">
        <f t="shared" si="67"/>
        <v>839</v>
      </c>
      <c r="F75" s="90">
        <f t="shared" si="67"/>
        <v>856</v>
      </c>
      <c r="G75" s="90">
        <f t="shared" si="67"/>
        <v>164</v>
      </c>
      <c r="H75" s="90">
        <f t="shared" si="67"/>
        <v>5778</v>
      </c>
    </row>
    <row r="76" spans="1:8">
      <c r="A76" s="75" t="s">
        <v>52</v>
      </c>
      <c r="B76" s="90">
        <f t="shared" si="67"/>
        <v>239.2</v>
      </c>
      <c r="C76" s="90">
        <f t="shared" si="67"/>
        <v>12119</v>
      </c>
      <c r="D76" s="90">
        <f t="shared" si="67"/>
        <v>10552</v>
      </c>
      <c r="E76" s="90">
        <f t="shared" si="67"/>
        <v>334</v>
      </c>
      <c r="F76" s="90">
        <f t="shared" si="67"/>
        <v>1440</v>
      </c>
      <c r="G76" s="90">
        <f t="shared" si="67"/>
        <v>40</v>
      </c>
      <c r="H76" s="90">
        <f t="shared" si="67"/>
        <v>8738</v>
      </c>
    </row>
    <row r="77" spans="1:8">
      <c r="A77" s="75" t="s">
        <v>12</v>
      </c>
      <c r="B77" s="91">
        <f t="shared" ref="B77:H77" si="68">B76/B75*100</f>
        <v>90.264150943396231</v>
      </c>
      <c r="C77" s="91">
        <f t="shared" si="68"/>
        <v>134.43150305047143</v>
      </c>
      <c r="D77" s="91">
        <f t="shared" si="68"/>
        <v>138.1694382610973</v>
      </c>
      <c r="E77" s="91">
        <f t="shared" si="68"/>
        <v>39.809296781883198</v>
      </c>
      <c r="F77" s="91">
        <f t="shared" si="68"/>
        <v>168.22429906542055</v>
      </c>
      <c r="G77" s="91">
        <f t="shared" si="68"/>
        <v>24.390243902439025</v>
      </c>
      <c r="H77" s="91">
        <f t="shared" si="68"/>
        <v>151.22879889235031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69">B9-B46</f>
        <v>0</v>
      </c>
      <c r="C83" s="83">
        <f t="shared" si="69"/>
        <v>0</v>
      </c>
      <c r="D83" s="83">
        <f t="shared" si="69"/>
        <v>0</v>
      </c>
      <c r="E83" s="83">
        <f t="shared" si="69"/>
        <v>0</v>
      </c>
      <c r="F83" s="83">
        <f t="shared" si="69"/>
        <v>0</v>
      </c>
      <c r="G83" s="83">
        <f t="shared" si="69"/>
        <v>0</v>
      </c>
      <c r="H83" s="83">
        <f t="shared" si="69"/>
        <v>0</v>
      </c>
    </row>
    <row r="84" spans="1:8">
      <c r="A84" s="84" t="s">
        <v>50</v>
      </c>
      <c r="B84" s="83">
        <f t="shared" si="69"/>
        <v>0</v>
      </c>
      <c r="C84" s="83">
        <f t="shared" si="69"/>
        <v>0</v>
      </c>
      <c r="D84" s="83">
        <f t="shared" si="69"/>
        <v>0</v>
      </c>
      <c r="E84" s="83">
        <f t="shared" si="69"/>
        <v>0</v>
      </c>
      <c r="F84" s="83">
        <f t="shared" si="69"/>
        <v>0</v>
      </c>
      <c r="G84" s="83">
        <f t="shared" si="69"/>
        <v>0</v>
      </c>
      <c r="H84" s="83">
        <f t="shared" si="69"/>
        <v>0</v>
      </c>
    </row>
    <row r="85" spans="1:8">
      <c r="A85" s="85" t="s">
        <v>44</v>
      </c>
      <c r="B85" s="83">
        <f t="shared" si="69"/>
        <v>0</v>
      </c>
      <c r="C85" s="83">
        <f t="shared" si="69"/>
        <v>0</v>
      </c>
      <c r="D85" s="83">
        <f t="shared" si="69"/>
        <v>0</v>
      </c>
      <c r="E85" s="83">
        <f t="shared" si="69"/>
        <v>0</v>
      </c>
      <c r="F85" s="83">
        <f t="shared" si="69"/>
        <v>0</v>
      </c>
      <c r="G85" s="83">
        <f t="shared" si="69"/>
        <v>0</v>
      </c>
      <c r="H85" s="83">
        <f t="shared" si="69"/>
        <v>0</v>
      </c>
    </row>
    <row r="86" spans="1:8">
      <c r="A86" s="87" t="s">
        <v>11</v>
      </c>
      <c r="B86" s="83">
        <f t="shared" si="69"/>
        <v>0</v>
      </c>
      <c r="C86" s="83">
        <f t="shared" si="69"/>
        <v>0</v>
      </c>
      <c r="D86" s="83">
        <f t="shared" si="69"/>
        <v>0</v>
      </c>
      <c r="E86" s="83">
        <f t="shared" si="69"/>
        <v>0</v>
      </c>
      <c r="F86" s="83">
        <f t="shared" si="69"/>
        <v>0</v>
      </c>
      <c r="G86" s="83">
        <f t="shared" si="69"/>
        <v>0</v>
      </c>
      <c r="H86" s="83">
        <f t="shared" si="69"/>
        <v>0</v>
      </c>
    </row>
    <row r="87" spans="1:8">
      <c r="A87" s="75" t="s">
        <v>40</v>
      </c>
      <c r="B87" s="83">
        <f t="shared" si="69"/>
        <v>0</v>
      </c>
      <c r="C87" s="83">
        <f t="shared" si="69"/>
        <v>0</v>
      </c>
      <c r="D87" s="83">
        <f t="shared" si="69"/>
        <v>0</v>
      </c>
      <c r="E87" s="83">
        <f t="shared" si="69"/>
        <v>0</v>
      </c>
      <c r="F87" s="83">
        <f t="shared" si="69"/>
        <v>0</v>
      </c>
      <c r="G87" s="83">
        <f t="shared" si="69"/>
        <v>0</v>
      </c>
      <c r="H87" s="83">
        <f t="shared" si="69"/>
        <v>0</v>
      </c>
    </row>
    <row r="88" spans="1:8">
      <c r="A88" s="75" t="s">
        <v>50</v>
      </c>
      <c r="B88" s="83">
        <f t="shared" si="69"/>
        <v>0</v>
      </c>
      <c r="C88" s="83">
        <f t="shared" si="69"/>
        <v>0</v>
      </c>
      <c r="D88" s="83">
        <f t="shared" si="69"/>
        <v>0</v>
      </c>
      <c r="E88" s="83">
        <f t="shared" si="69"/>
        <v>0</v>
      </c>
      <c r="F88" s="83">
        <f t="shared" si="69"/>
        <v>0</v>
      </c>
      <c r="G88" s="83">
        <f t="shared" si="69"/>
        <v>0</v>
      </c>
      <c r="H88" s="83">
        <f t="shared" si="69"/>
        <v>0</v>
      </c>
    </row>
    <row r="89" spans="1:8">
      <c r="A89" s="75" t="s">
        <v>44</v>
      </c>
      <c r="B89" s="83">
        <f t="shared" si="69"/>
        <v>0</v>
      </c>
      <c r="C89" s="83">
        <f t="shared" si="69"/>
        <v>0</v>
      </c>
      <c r="D89" s="83">
        <f t="shared" si="69"/>
        <v>0</v>
      </c>
      <c r="E89" s="83">
        <f t="shared" si="69"/>
        <v>0</v>
      </c>
      <c r="F89" s="83">
        <f t="shared" si="69"/>
        <v>0</v>
      </c>
      <c r="G89" s="83">
        <f t="shared" si="69"/>
        <v>0</v>
      </c>
      <c r="H89" s="83">
        <f t="shared" si="69"/>
        <v>0</v>
      </c>
    </row>
    <row r="90" spans="1:8">
      <c r="A90" s="75" t="s">
        <v>13</v>
      </c>
      <c r="B90" s="83">
        <f t="shared" si="69"/>
        <v>0</v>
      </c>
      <c r="C90" s="83">
        <f t="shared" si="69"/>
        <v>0</v>
      </c>
      <c r="D90" s="83">
        <f t="shared" si="69"/>
        <v>0</v>
      </c>
      <c r="E90" s="83">
        <f t="shared" si="69"/>
        <v>0</v>
      </c>
      <c r="F90" s="83">
        <f t="shared" si="69"/>
        <v>0</v>
      </c>
      <c r="G90" s="83">
        <f t="shared" si="69"/>
        <v>0</v>
      </c>
      <c r="H90" s="83">
        <f t="shared" si="69"/>
        <v>0</v>
      </c>
    </row>
    <row r="91" spans="1:8">
      <c r="A91" s="92" t="s">
        <v>14</v>
      </c>
      <c r="B91" s="83">
        <f t="shared" si="69"/>
        <v>0</v>
      </c>
      <c r="C91" s="83">
        <f t="shared" si="69"/>
        <v>0</v>
      </c>
      <c r="D91" s="83">
        <f t="shared" si="69"/>
        <v>0</v>
      </c>
      <c r="E91" s="83">
        <f t="shared" si="69"/>
        <v>0</v>
      </c>
      <c r="F91" s="83">
        <f t="shared" si="69"/>
        <v>0</v>
      </c>
      <c r="G91" s="83">
        <f t="shared" si="69"/>
        <v>0</v>
      </c>
      <c r="H91" s="83">
        <f t="shared" si="69"/>
        <v>0</v>
      </c>
    </row>
    <row r="92" spans="1:8">
      <c r="A92" s="75" t="s">
        <v>15</v>
      </c>
      <c r="B92" s="83">
        <f t="shared" si="69"/>
        <v>0</v>
      </c>
      <c r="C92" s="83">
        <f t="shared" si="69"/>
        <v>0</v>
      </c>
      <c r="D92" s="83">
        <f t="shared" si="69"/>
        <v>0</v>
      </c>
      <c r="E92" s="83">
        <f t="shared" si="69"/>
        <v>0</v>
      </c>
      <c r="F92" s="83">
        <f t="shared" si="69"/>
        <v>0</v>
      </c>
      <c r="G92" s="83">
        <f t="shared" si="69"/>
        <v>0</v>
      </c>
      <c r="H92" s="83">
        <f t="shared" si="69"/>
        <v>0</v>
      </c>
    </row>
    <row r="93" spans="1:8">
      <c r="A93" s="87" t="s">
        <v>16</v>
      </c>
      <c r="B93" s="83">
        <f t="shared" si="69"/>
        <v>0</v>
      </c>
      <c r="C93" s="83">
        <f t="shared" si="69"/>
        <v>0</v>
      </c>
      <c r="D93" s="83">
        <f t="shared" si="69"/>
        <v>0</v>
      </c>
      <c r="E93" s="83">
        <f t="shared" si="69"/>
        <v>0</v>
      </c>
      <c r="F93" s="83">
        <f t="shared" si="69"/>
        <v>0</v>
      </c>
      <c r="G93" s="83">
        <f t="shared" si="69"/>
        <v>0</v>
      </c>
      <c r="H93" s="83">
        <f t="shared" si="69"/>
        <v>0</v>
      </c>
    </row>
    <row r="94" spans="1:8">
      <c r="A94" s="75" t="s">
        <v>40</v>
      </c>
      <c r="B94" s="83">
        <f t="shared" si="69"/>
        <v>0</v>
      </c>
      <c r="C94" s="83">
        <f t="shared" si="69"/>
        <v>0</v>
      </c>
      <c r="D94" s="83">
        <f t="shared" si="69"/>
        <v>0</v>
      </c>
      <c r="E94" s="83">
        <f t="shared" si="69"/>
        <v>0</v>
      </c>
      <c r="F94" s="83">
        <f t="shared" si="69"/>
        <v>0</v>
      </c>
      <c r="G94" s="83">
        <f t="shared" si="69"/>
        <v>0</v>
      </c>
      <c r="H94" s="83">
        <f t="shared" si="69"/>
        <v>0</v>
      </c>
    </row>
    <row r="95" spans="1:8">
      <c r="A95" s="92" t="s">
        <v>50</v>
      </c>
      <c r="B95" s="83">
        <f t="shared" si="69"/>
        <v>0</v>
      </c>
      <c r="C95" s="83">
        <f t="shared" si="69"/>
        <v>0</v>
      </c>
      <c r="D95" s="83">
        <f t="shared" si="69"/>
        <v>0</v>
      </c>
      <c r="E95" s="83">
        <f t="shared" si="69"/>
        <v>0</v>
      </c>
      <c r="F95" s="83">
        <f t="shared" si="69"/>
        <v>0</v>
      </c>
      <c r="G95" s="83">
        <f t="shared" si="69"/>
        <v>0</v>
      </c>
      <c r="H95" s="83">
        <f t="shared" si="69"/>
        <v>0</v>
      </c>
    </row>
    <row r="96" spans="1:8">
      <c r="A96" s="75" t="s">
        <v>44</v>
      </c>
      <c r="B96" s="83">
        <f t="shared" si="69"/>
        <v>0</v>
      </c>
      <c r="C96" s="83">
        <f t="shared" si="69"/>
        <v>0</v>
      </c>
      <c r="D96" s="83">
        <f t="shared" si="69"/>
        <v>0</v>
      </c>
      <c r="E96" s="83">
        <f t="shared" si="69"/>
        <v>0</v>
      </c>
      <c r="F96" s="83">
        <f t="shared" si="69"/>
        <v>0</v>
      </c>
      <c r="G96" s="83">
        <f t="shared" si="69"/>
        <v>0</v>
      </c>
      <c r="H96" s="83">
        <f t="shared" si="69"/>
        <v>0</v>
      </c>
    </row>
    <row r="97" spans="1:8">
      <c r="A97" s="75" t="s">
        <v>21</v>
      </c>
      <c r="B97" s="83">
        <f t="shared" si="69"/>
        <v>0</v>
      </c>
      <c r="C97" s="83">
        <f t="shared" si="69"/>
        <v>0</v>
      </c>
      <c r="D97" s="83">
        <f t="shared" si="69"/>
        <v>0</v>
      </c>
      <c r="E97" s="83">
        <f t="shared" si="69"/>
        <v>0</v>
      </c>
      <c r="F97" s="83">
        <f t="shared" si="69"/>
        <v>0</v>
      </c>
      <c r="G97" s="83">
        <f t="shared" si="69"/>
        <v>0</v>
      </c>
      <c r="H97" s="83">
        <f t="shared" si="69"/>
        <v>0</v>
      </c>
    </row>
    <row r="98" spans="1:8">
      <c r="A98" s="75" t="s">
        <v>51</v>
      </c>
      <c r="B98" s="83">
        <f t="shared" si="69"/>
        <v>0</v>
      </c>
      <c r="C98" s="83">
        <f t="shared" si="69"/>
        <v>0</v>
      </c>
      <c r="D98" s="83">
        <f t="shared" si="69"/>
        <v>0</v>
      </c>
      <c r="E98" s="83">
        <f t="shared" si="69"/>
        <v>0</v>
      </c>
      <c r="F98" s="83">
        <f t="shared" si="69"/>
        <v>0</v>
      </c>
      <c r="G98" s="83">
        <f t="shared" si="69"/>
        <v>0</v>
      </c>
      <c r="H98" s="83">
        <f t="shared" si="69"/>
        <v>0</v>
      </c>
    </row>
    <row r="99" spans="1:8">
      <c r="A99" s="75" t="s">
        <v>12</v>
      </c>
      <c r="B99" s="83">
        <f t="shared" ref="B99:H114" si="70">B25-B62</f>
        <v>0</v>
      </c>
      <c r="C99" s="83">
        <f t="shared" si="70"/>
        <v>0</v>
      </c>
      <c r="D99" s="83">
        <f t="shared" si="70"/>
        <v>0</v>
      </c>
      <c r="E99" s="83">
        <f t="shared" si="70"/>
        <v>0</v>
      </c>
      <c r="F99" s="83">
        <f t="shared" si="70"/>
        <v>0</v>
      </c>
      <c r="G99" s="83">
        <f t="shared" si="70"/>
        <v>0</v>
      </c>
      <c r="H99" s="83">
        <f t="shared" si="70"/>
        <v>0</v>
      </c>
    </row>
    <row r="100" spans="1:8">
      <c r="A100" s="75" t="s">
        <v>23</v>
      </c>
      <c r="B100" s="83">
        <f t="shared" si="70"/>
        <v>0</v>
      </c>
      <c r="C100" s="83">
        <f t="shared" si="70"/>
        <v>0</v>
      </c>
      <c r="D100" s="83">
        <f t="shared" si="70"/>
        <v>0</v>
      </c>
      <c r="E100" s="83">
        <f t="shared" si="70"/>
        <v>0</v>
      </c>
      <c r="F100" s="83">
        <f t="shared" si="70"/>
        <v>0</v>
      </c>
      <c r="G100" s="83">
        <f t="shared" si="70"/>
        <v>0</v>
      </c>
      <c r="H100" s="83">
        <f t="shared" si="70"/>
        <v>0</v>
      </c>
    </row>
    <row r="101" spans="1:8">
      <c r="A101" s="75" t="s">
        <v>45</v>
      </c>
      <c r="B101" s="83">
        <f t="shared" si="70"/>
        <v>0</v>
      </c>
      <c r="C101" s="83">
        <f t="shared" si="70"/>
        <v>0</v>
      </c>
      <c r="D101" s="83">
        <f t="shared" si="70"/>
        <v>0</v>
      </c>
      <c r="E101" s="83">
        <f t="shared" si="70"/>
        <v>0</v>
      </c>
      <c r="F101" s="83">
        <f t="shared" si="70"/>
        <v>0</v>
      </c>
      <c r="G101" s="83">
        <f t="shared" si="70"/>
        <v>0</v>
      </c>
      <c r="H101" s="83">
        <f t="shared" si="70"/>
        <v>0</v>
      </c>
    </row>
    <row r="102" spans="1:8">
      <c r="A102" s="75" t="s">
        <v>12</v>
      </c>
      <c r="B102" s="83">
        <f t="shared" si="70"/>
        <v>0</v>
      </c>
      <c r="C102" s="83">
        <f t="shared" si="70"/>
        <v>0</v>
      </c>
      <c r="D102" s="83">
        <f t="shared" si="70"/>
        <v>0</v>
      </c>
      <c r="E102" s="83">
        <f t="shared" si="70"/>
        <v>0</v>
      </c>
      <c r="F102" s="83">
        <f t="shared" si="70"/>
        <v>0</v>
      </c>
      <c r="G102" s="83">
        <f t="shared" si="70"/>
        <v>0</v>
      </c>
      <c r="H102" s="83">
        <f t="shared" si="70"/>
        <v>0</v>
      </c>
    </row>
    <row r="103" spans="1:8">
      <c r="A103" s="75" t="s">
        <v>25</v>
      </c>
      <c r="B103" s="83">
        <f t="shared" si="70"/>
        <v>0</v>
      </c>
      <c r="C103" s="83">
        <f t="shared" si="70"/>
        <v>0</v>
      </c>
      <c r="D103" s="83">
        <f t="shared" si="70"/>
        <v>0</v>
      </c>
      <c r="E103" s="83">
        <f t="shared" si="70"/>
        <v>0</v>
      </c>
      <c r="F103" s="83">
        <f t="shared" si="70"/>
        <v>0</v>
      </c>
      <c r="G103" s="83">
        <f t="shared" si="70"/>
        <v>0</v>
      </c>
      <c r="H103" s="83">
        <f t="shared" si="70"/>
        <v>0</v>
      </c>
    </row>
    <row r="104" spans="1:8">
      <c r="A104" s="75" t="s">
        <v>46</v>
      </c>
      <c r="B104" s="83">
        <f t="shared" si="70"/>
        <v>0</v>
      </c>
      <c r="C104" s="83">
        <f t="shared" si="70"/>
        <v>0</v>
      </c>
      <c r="D104" s="83">
        <f t="shared" si="70"/>
        <v>0</v>
      </c>
      <c r="E104" s="83">
        <f t="shared" si="70"/>
        <v>0</v>
      </c>
      <c r="F104" s="83">
        <f t="shared" si="70"/>
        <v>0</v>
      </c>
      <c r="G104" s="83">
        <f t="shared" si="70"/>
        <v>0</v>
      </c>
      <c r="H104" s="83">
        <f t="shared" si="70"/>
        <v>0</v>
      </c>
    </row>
    <row r="105" spans="1:8">
      <c r="A105" s="75" t="s">
        <v>12</v>
      </c>
      <c r="B105" s="83">
        <f t="shared" si="70"/>
        <v>0</v>
      </c>
      <c r="C105" s="83">
        <f t="shared" si="70"/>
        <v>0</v>
      </c>
      <c r="D105" s="83">
        <f t="shared" si="70"/>
        <v>0</v>
      </c>
      <c r="E105" s="83">
        <f t="shared" si="70"/>
        <v>0</v>
      </c>
      <c r="F105" s="83">
        <f t="shared" si="70"/>
        <v>0</v>
      </c>
      <c r="G105" s="83">
        <f t="shared" si="70"/>
        <v>0</v>
      </c>
      <c r="H105" s="83">
        <f t="shared" si="70"/>
        <v>0</v>
      </c>
    </row>
    <row r="106" spans="1:8">
      <c r="A106" s="75" t="s">
        <v>27</v>
      </c>
      <c r="B106" s="83">
        <f t="shared" si="70"/>
        <v>0</v>
      </c>
      <c r="C106" s="83">
        <f t="shared" si="70"/>
        <v>0</v>
      </c>
      <c r="D106" s="83">
        <f t="shared" si="70"/>
        <v>0</v>
      </c>
      <c r="E106" s="83">
        <f t="shared" si="70"/>
        <v>0</v>
      </c>
      <c r="F106" s="83">
        <f t="shared" si="70"/>
        <v>0</v>
      </c>
      <c r="G106" s="83">
        <f t="shared" si="70"/>
        <v>0</v>
      </c>
      <c r="H106" s="83">
        <f t="shared" si="70"/>
        <v>0</v>
      </c>
    </row>
    <row r="107" spans="1:8">
      <c r="A107" s="75" t="s">
        <v>47</v>
      </c>
      <c r="B107" s="83">
        <f t="shared" si="70"/>
        <v>0</v>
      </c>
      <c r="C107" s="83">
        <f t="shared" si="70"/>
        <v>0</v>
      </c>
      <c r="D107" s="83">
        <f t="shared" si="70"/>
        <v>0</v>
      </c>
      <c r="E107" s="83">
        <f t="shared" si="70"/>
        <v>0</v>
      </c>
      <c r="F107" s="83">
        <f t="shared" si="70"/>
        <v>0</v>
      </c>
      <c r="G107" s="83">
        <f t="shared" si="70"/>
        <v>0</v>
      </c>
      <c r="H107" s="83">
        <f t="shared" si="70"/>
        <v>0</v>
      </c>
    </row>
    <row r="108" spans="1:8">
      <c r="A108" s="75" t="s">
        <v>12</v>
      </c>
      <c r="B108" s="83" t="e">
        <f t="shared" si="70"/>
        <v>#DIV/0!</v>
      </c>
      <c r="C108" s="83" t="e">
        <f t="shared" si="70"/>
        <v>#DIV/0!</v>
      </c>
      <c r="D108" s="83" t="e">
        <f t="shared" si="70"/>
        <v>#DIV/0!</v>
      </c>
      <c r="E108" s="83" t="e">
        <f t="shared" si="70"/>
        <v>#DIV/0!</v>
      </c>
      <c r="F108" s="83" t="e">
        <f t="shared" si="70"/>
        <v>#DIV/0!</v>
      </c>
      <c r="G108" s="83" t="e">
        <f t="shared" si="70"/>
        <v>#DIV/0!</v>
      </c>
      <c r="H108" s="83" t="e">
        <f t="shared" si="70"/>
        <v>#DIV/0!</v>
      </c>
    </row>
    <row r="109" spans="1:8">
      <c r="A109" s="75" t="s">
        <v>29</v>
      </c>
      <c r="B109" s="83">
        <f t="shared" si="70"/>
        <v>0</v>
      </c>
      <c r="C109" s="83">
        <f t="shared" si="70"/>
        <v>0</v>
      </c>
      <c r="D109" s="83">
        <f t="shared" si="70"/>
        <v>0</v>
      </c>
      <c r="E109" s="83">
        <f t="shared" si="70"/>
        <v>0</v>
      </c>
      <c r="F109" s="83">
        <f t="shared" si="70"/>
        <v>0</v>
      </c>
      <c r="G109" s="83">
        <f t="shared" si="70"/>
        <v>0</v>
      </c>
      <c r="H109" s="83">
        <f t="shared" si="70"/>
        <v>0</v>
      </c>
    </row>
    <row r="110" spans="1:8">
      <c r="A110" s="75" t="s">
        <v>48</v>
      </c>
      <c r="B110" s="83">
        <f t="shared" si="70"/>
        <v>0</v>
      </c>
      <c r="C110" s="83">
        <f t="shared" si="70"/>
        <v>0</v>
      </c>
      <c r="D110" s="83">
        <f t="shared" si="70"/>
        <v>0</v>
      </c>
      <c r="E110" s="83">
        <f t="shared" si="70"/>
        <v>0</v>
      </c>
      <c r="F110" s="83">
        <f t="shared" si="70"/>
        <v>0</v>
      </c>
      <c r="G110" s="83">
        <f t="shared" si="70"/>
        <v>0</v>
      </c>
      <c r="H110" s="83">
        <f t="shared" si="70"/>
        <v>0</v>
      </c>
    </row>
    <row r="111" spans="1:8">
      <c r="A111" s="75" t="s">
        <v>12</v>
      </c>
      <c r="B111" s="83">
        <f t="shared" si="70"/>
        <v>0</v>
      </c>
      <c r="C111" s="83">
        <f t="shared" si="70"/>
        <v>0</v>
      </c>
      <c r="D111" s="83">
        <f t="shared" si="70"/>
        <v>0</v>
      </c>
      <c r="E111" s="83" t="e">
        <f t="shared" si="70"/>
        <v>#DIV/0!</v>
      </c>
      <c r="F111" s="83">
        <f t="shared" si="70"/>
        <v>0</v>
      </c>
      <c r="G111" s="83">
        <f t="shared" si="70"/>
        <v>0</v>
      </c>
      <c r="H111" s="83">
        <f t="shared" si="70"/>
        <v>0</v>
      </c>
    </row>
    <row r="112" spans="1:8">
      <c r="A112" s="75" t="s">
        <v>31</v>
      </c>
      <c r="B112" s="83">
        <f t="shared" si="70"/>
        <v>0</v>
      </c>
      <c r="C112" s="83">
        <f t="shared" si="70"/>
        <v>0</v>
      </c>
      <c r="D112" s="83">
        <f t="shared" si="70"/>
        <v>0</v>
      </c>
      <c r="E112" s="83">
        <f t="shared" si="70"/>
        <v>0</v>
      </c>
      <c r="F112" s="83">
        <f t="shared" si="70"/>
        <v>0</v>
      </c>
      <c r="G112" s="83">
        <f t="shared" si="70"/>
        <v>0</v>
      </c>
      <c r="H112" s="83">
        <f t="shared" si="70"/>
        <v>0</v>
      </c>
    </row>
    <row r="113" spans="1:8">
      <c r="A113" s="75" t="s">
        <v>52</v>
      </c>
      <c r="B113" s="83">
        <f t="shared" si="70"/>
        <v>0</v>
      </c>
      <c r="C113" s="83">
        <f t="shared" si="70"/>
        <v>0</v>
      </c>
      <c r="D113" s="83">
        <f t="shared" si="70"/>
        <v>0</v>
      </c>
      <c r="E113" s="83">
        <f t="shared" si="70"/>
        <v>0</v>
      </c>
      <c r="F113" s="83">
        <f t="shared" si="70"/>
        <v>0</v>
      </c>
      <c r="G113" s="83">
        <f t="shared" si="70"/>
        <v>0</v>
      </c>
      <c r="H113" s="83">
        <f t="shared" si="70"/>
        <v>0</v>
      </c>
    </row>
    <row r="114" spans="1:8">
      <c r="A114" s="75" t="s">
        <v>12</v>
      </c>
      <c r="B114" s="83">
        <f t="shared" si="70"/>
        <v>0</v>
      </c>
      <c r="C114" s="83">
        <f t="shared" si="70"/>
        <v>0</v>
      </c>
      <c r="D114" s="83">
        <f t="shared" si="70"/>
        <v>0</v>
      </c>
      <c r="E114" s="83">
        <f t="shared" si="70"/>
        <v>0</v>
      </c>
      <c r="F114" s="83">
        <f t="shared" si="70"/>
        <v>0</v>
      </c>
      <c r="G114" s="83">
        <f t="shared" si="70"/>
        <v>0</v>
      </c>
      <c r="H114" s="83">
        <f t="shared" si="70"/>
        <v>0</v>
      </c>
    </row>
  </sheetData>
  <mergeCells count="19">
    <mergeCell ref="B1:H1"/>
    <mergeCell ref="B2:H2"/>
    <mergeCell ref="A5:H5"/>
    <mergeCell ref="A4:H4"/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</mergeCells>
  <phoneticPr fontId="17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BC114"/>
  <sheetViews>
    <sheetView zoomScale="70" zoomScaleNormal="70" workbookViewId="0">
      <selection sqref="A1:XFD40"/>
    </sheetView>
  </sheetViews>
  <sheetFormatPr defaultRowHeight="13.2"/>
  <cols>
    <col min="1" max="1" width="15.109375" customWidth="1"/>
    <col min="2" max="2" width="7.33203125" customWidth="1"/>
    <col min="3" max="3" width="8" customWidth="1"/>
    <col min="5" max="5" width="6.33203125" customWidth="1"/>
    <col min="6" max="7" width="7.6640625" customWidth="1"/>
    <col min="8" max="8" width="7.5546875" customWidth="1"/>
    <col min="9" max="9" width="5.33203125" customWidth="1"/>
    <col min="10" max="10" width="15.6640625" customWidth="1"/>
    <col min="11" max="11" width="6.6640625" customWidth="1"/>
    <col min="12" max="12" width="7.88671875" customWidth="1"/>
    <col min="14" max="14" width="7" customWidth="1"/>
    <col min="15" max="15" width="7.5546875" customWidth="1"/>
    <col min="16" max="16" width="7.6640625" customWidth="1"/>
    <col min="17" max="17" width="6.6640625" customWidth="1"/>
    <col min="18" max="18" width="15.109375" customWidth="1"/>
    <col min="19" max="19" width="7.109375" customWidth="1"/>
    <col min="20" max="20" width="7.5546875" customWidth="1"/>
    <col min="22" max="22" width="7.33203125" customWidth="1"/>
    <col min="23" max="23" width="7.5546875" customWidth="1"/>
    <col min="24" max="24" width="8" customWidth="1"/>
    <col min="25" max="25" width="7.33203125" customWidth="1"/>
    <col min="26" max="26" width="6.88671875" customWidth="1"/>
    <col min="27" max="27" width="15.109375" customWidth="1"/>
    <col min="28" max="28" width="9.109375" customWidth="1"/>
    <col min="29" max="29" width="8.33203125" customWidth="1"/>
    <col min="30" max="30" width="8" customWidth="1"/>
    <col min="31" max="31" width="8.33203125" customWidth="1"/>
    <col min="32" max="32" width="8" customWidth="1"/>
    <col min="33" max="33" width="7.88671875" customWidth="1"/>
    <col min="34" max="34" width="8" customWidth="1"/>
    <col min="36" max="36" width="14.88671875" customWidth="1"/>
  </cols>
  <sheetData>
    <row r="1" spans="1:55" s="411" customFormat="1" ht="15.6">
      <c r="A1" s="404"/>
      <c r="B1" s="479" t="s">
        <v>68</v>
      </c>
      <c r="C1" s="479"/>
      <c r="D1" s="479"/>
      <c r="E1" s="479"/>
      <c r="F1" s="479"/>
      <c r="G1" s="479"/>
      <c r="H1" s="479"/>
      <c r="Q1" s="412"/>
    </row>
    <row r="2" spans="1:55" s="411" customFormat="1" ht="15.6">
      <c r="A2" s="405"/>
      <c r="B2" s="480" t="s">
        <v>77</v>
      </c>
      <c r="C2" s="480"/>
      <c r="D2" s="480"/>
      <c r="E2" s="480"/>
      <c r="F2" s="480"/>
      <c r="G2" s="480"/>
      <c r="H2" s="480"/>
      <c r="Q2" s="412"/>
    </row>
    <row r="3" spans="1:55" s="413" customFormat="1" ht="18.75" customHeight="1">
      <c r="A3" s="405"/>
      <c r="B3" s="405"/>
      <c r="C3" s="284"/>
      <c r="D3" s="407"/>
      <c r="E3" s="408"/>
      <c r="F3" s="408"/>
      <c r="G3" s="408"/>
      <c r="H3" s="408"/>
    </row>
    <row r="4" spans="1:55" s="411" customFormat="1" ht="35.25" customHeight="1">
      <c r="A4" s="482" t="s">
        <v>84</v>
      </c>
      <c r="B4" s="482"/>
      <c r="C4" s="482"/>
      <c r="D4" s="482"/>
      <c r="E4" s="482"/>
      <c r="F4" s="482"/>
      <c r="G4" s="482"/>
      <c r="H4" s="482"/>
      <c r="I4" s="414"/>
      <c r="J4" s="414"/>
      <c r="K4" s="413"/>
      <c r="L4" s="413"/>
      <c r="M4" s="413"/>
      <c r="N4" s="413"/>
      <c r="O4" s="413"/>
      <c r="P4" s="413"/>
      <c r="Q4" s="413"/>
    </row>
    <row r="5" spans="1:55" s="330" customFormat="1" ht="21.75" customHeight="1">
      <c r="A5" s="507" t="s">
        <v>85</v>
      </c>
      <c r="B5" s="507"/>
      <c r="C5" s="507"/>
      <c r="D5" s="507"/>
      <c r="E5" s="507"/>
      <c r="F5" s="507"/>
      <c r="G5" s="507"/>
      <c r="H5" s="507"/>
      <c r="J5" s="415" t="s">
        <v>36</v>
      </c>
      <c r="O5" s="415"/>
      <c r="P5" s="325"/>
      <c r="R5" s="416" t="s">
        <v>37</v>
      </c>
      <c r="W5" s="416"/>
      <c r="X5" s="416"/>
      <c r="AA5" s="417" t="s">
        <v>38</v>
      </c>
      <c r="AB5" s="417"/>
      <c r="AC5" s="417"/>
      <c r="AD5" s="417"/>
      <c r="AE5" s="417"/>
      <c r="AF5" s="417"/>
      <c r="AG5" s="417"/>
      <c r="AJ5" s="415" t="s">
        <v>59</v>
      </c>
      <c r="AO5" s="415"/>
    </row>
    <row r="6" spans="1:55" s="330" customFormat="1">
      <c r="A6" s="418" t="s">
        <v>0</v>
      </c>
      <c r="B6" s="418" t="s">
        <v>1</v>
      </c>
      <c r="C6" s="418" t="s">
        <v>2</v>
      </c>
      <c r="D6" s="418" t="s">
        <v>3</v>
      </c>
      <c r="E6" s="418" t="s">
        <v>4</v>
      </c>
      <c r="F6" s="418" t="s">
        <v>5</v>
      </c>
      <c r="G6" s="418" t="s">
        <v>6</v>
      </c>
      <c r="H6" s="418" t="s">
        <v>7</v>
      </c>
      <c r="I6" s="419"/>
      <c r="J6" s="420" t="s">
        <v>0</v>
      </c>
      <c r="K6" s="420" t="s">
        <v>1</v>
      </c>
      <c r="L6" s="420" t="s">
        <v>2</v>
      </c>
      <c r="M6" s="420" t="s">
        <v>3</v>
      </c>
      <c r="N6" s="420" t="s">
        <v>4</v>
      </c>
      <c r="O6" s="420" t="s">
        <v>5</v>
      </c>
      <c r="P6" s="420" t="s">
        <v>6</v>
      </c>
      <c r="Q6" s="420" t="s">
        <v>7</v>
      </c>
      <c r="R6" s="420" t="s">
        <v>0</v>
      </c>
      <c r="S6" s="420" t="s">
        <v>1</v>
      </c>
      <c r="T6" s="420" t="s">
        <v>2</v>
      </c>
      <c r="U6" s="420" t="s">
        <v>3</v>
      </c>
      <c r="V6" s="420" t="s">
        <v>4</v>
      </c>
      <c r="W6" s="420" t="s">
        <v>5</v>
      </c>
      <c r="X6" s="420" t="s">
        <v>6</v>
      </c>
      <c r="Y6" s="420" t="s">
        <v>7</v>
      </c>
      <c r="Z6" s="419"/>
      <c r="AA6" s="420" t="s">
        <v>0</v>
      </c>
      <c r="AB6" s="420" t="s">
        <v>1</v>
      </c>
      <c r="AC6" s="420" t="s">
        <v>2</v>
      </c>
      <c r="AD6" s="420" t="s">
        <v>3</v>
      </c>
      <c r="AE6" s="420" t="s">
        <v>4</v>
      </c>
      <c r="AF6" s="420" t="s">
        <v>5</v>
      </c>
      <c r="AG6" s="420" t="s">
        <v>6</v>
      </c>
      <c r="AH6" s="420" t="s">
        <v>7</v>
      </c>
      <c r="AI6" s="419"/>
      <c r="AJ6" s="420" t="s">
        <v>0</v>
      </c>
      <c r="AK6" s="421" t="s">
        <v>1</v>
      </c>
      <c r="AL6" s="420" t="s">
        <v>2</v>
      </c>
      <c r="AM6" s="420" t="s">
        <v>3</v>
      </c>
      <c r="AN6" s="420" t="s">
        <v>4</v>
      </c>
      <c r="AO6" s="420" t="s">
        <v>5</v>
      </c>
      <c r="AP6" s="420" t="s">
        <v>6</v>
      </c>
      <c r="AQ6" s="420" t="s">
        <v>7</v>
      </c>
      <c r="AR6" s="419"/>
      <c r="AS6" s="419"/>
      <c r="AT6" s="419"/>
      <c r="AU6" s="419"/>
      <c r="AV6" s="419"/>
      <c r="AW6" s="419"/>
      <c r="AX6" s="419"/>
      <c r="AY6" s="419"/>
      <c r="AZ6" s="419"/>
      <c r="BA6" s="419"/>
      <c r="BB6" s="419"/>
      <c r="BC6" s="419"/>
    </row>
    <row r="7" spans="1:55" s="330" customFormat="1">
      <c r="A7" s="422"/>
      <c r="B7" s="423" t="s">
        <v>8</v>
      </c>
      <c r="C7" s="423" t="s">
        <v>9</v>
      </c>
      <c r="D7" s="423" t="s">
        <v>10</v>
      </c>
      <c r="E7" s="423" t="s">
        <v>9</v>
      </c>
      <c r="F7" s="423" t="s">
        <v>9</v>
      </c>
      <c r="G7" s="423" t="s">
        <v>9</v>
      </c>
      <c r="H7" s="423" t="s">
        <v>9</v>
      </c>
      <c r="I7" s="419"/>
      <c r="J7" s="424"/>
      <c r="K7" s="424" t="s">
        <v>8</v>
      </c>
      <c r="L7" s="424" t="s">
        <v>9</v>
      </c>
      <c r="M7" s="424" t="s">
        <v>10</v>
      </c>
      <c r="N7" s="424" t="s">
        <v>9</v>
      </c>
      <c r="O7" s="424" t="s">
        <v>9</v>
      </c>
      <c r="P7" s="424" t="s">
        <v>9</v>
      </c>
      <c r="Q7" s="424" t="s">
        <v>9</v>
      </c>
      <c r="R7" s="424"/>
      <c r="S7" s="424" t="s">
        <v>8</v>
      </c>
      <c r="T7" s="424" t="s">
        <v>9</v>
      </c>
      <c r="U7" s="424" t="s">
        <v>10</v>
      </c>
      <c r="V7" s="424" t="s">
        <v>9</v>
      </c>
      <c r="W7" s="424" t="s">
        <v>9</v>
      </c>
      <c r="X7" s="424" t="s">
        <v>9</v>
      </c>
      <c r="Y7" s="424" t="s">
        <v>9</v>
      </c>
      <c r="Z7" s="419"/>
      <c r="AA7" s="424"/>
      <c r="AB7" s="424" t="s">
        <v>8</v>
      </c>
      <c r="AC7" s="424" t="s">
        <v>9</v>
      </c>
      <c r="AD7" s="424" t="s">
        <v>10</v>
      </c>
      <c r="AE7" s="424" t="s">
        <v>9</v>
      </c>
      <c r="AF7" s="424" t="s">
        <v>9</v>
      </c>
      <c r="AG7" s="424" t="s">
        <v>9</v>
      </c>
      <c r="AH7" s="424" t="s">
        <v>9</v>
      </c>
      <c r="AI7" s="419"/>
      <c r="AJ7" s="424"/>
      <c r="AK7" s="425" t="s">
        <v>8</v>
      </c>
      <c r="AL7" s="424" t="s">
        <v>9</v>
      </c>
      <c r="AM7" s="424" t="s">
        <v>10</v>
      </c>
      <c r="AN7" s="424" t="s">
        <v>9</v>
      </c>
      <c r="AO7" s="424" t="s">
        <v>9</v>
      </c>
      <c r="AP7" s="424" t="s">
        <v>9</v>
      </c>
      <c r="AQ7" s="424" t="s">
        <v>9</v>
      </c>
      <c r="AR7" s="419"/>
      <c r="AS7" s="419"/>
      <c r="AT7" s="419"/>
      <c r="AU7" s="419"/>
      <c r="AV7" s="419"/>
      <c r="AW7" s="419"/>
      <c r="AX7" s="419"/>
      <c r="AY7" s="419"/>
      <c r="AZ7" s="419"/>
      <c r="BA7" s="419"/>
      <c r="BB7" s="419"/>
      <c r="BC7" s="419"/>
    </row>
    <row r="8" spans="1:55" s="325" customFormat="1">
      <c r="A8" s="509" t="s">
        <v>17</v>
      </c>
      <c r="B8" s="509"/>
      <c r="C8" s="509"/>
      <c r="D8" s="509"/>
      <c r="E8" s="509"/>
      <c r="F8" s="509"/>
      <c r="G8" s="509"/>
      <c r="H8" s="509"/>
      <c r="J8" s="508" t="s">
        <v>17</v>
      </c>
      <c r="K8" s="508"/>
      <c r="L8" s="508"/>
      <c r="M8" s="508"/>
      <c r="N8" s="508"/>
      <c r="O8" s="508"/>
      <c r="P8" s="508"/>
      <c r="Q8" s="508"/>
      <c r="R8" s="508" t="s">
        <v>17</v>
      </c>
      <c r="S8" s="508"/>
      <c r="T8" s="508"/>
      <c r="U8" s="508"/>
      <c r="V8" s="508"/>
      <c r="W8" s="508"/>
      <c r="X8" s="508"/>
      <c r="Y8" s="508"/>
      <c r="AA8" s="508" t="s">
        <v>17</v>
      </c>
      <c r="AB8" s="508"/>
      <c r="AC8" s="508"/>
      <c r="AD8" s="508"/>
      <c r="AE8" s="508"/>
      <c r="AF8" s="508"/>
      <c r="AG8" s="508"/>
      <c r="AH8" s="508"/>
      <c r="AJ8" s="508" t="s">
        <v>17</v>
      </c>
      <c r="AK8" s="508"/>
      <c r="AL8" s="508"/>
      <c r="AM8" s="508"/>
      <c r="AN8" s="508"/>
      <c r="AO8" s="508"/>
      <c r="AP8" s="508"/>
      <c r="AQ8" s="508"/>
    </row>
    <row r="9" spans="1:55" s="325" customFormat="1">
      <c r="A9" s="310" t="s">
        <v>18</v>
      </c>
      <c r="B9" s="311">
        <f t="shared" ref="B9:H10" si="0">K9+S9+AK9</f>
        <v>521.82999999999993</v>
      </c>
      <c r="C9" s="312">
        <f t="shared" si="0"/>
        <v>27020</v>
      </c>
      <c r="D9" s="312">
        <f t="shared" si="0"/>
        <v>22650.5</v>
      </c>
      <c r="E9" s="312">
        <f t="shared" si="0"/>
        <v>3352</v>
      </c>
      <c r="F9" s="312">
        <f t="shared" si="0"/>
        <v>4427.5</v>
      </c>
      <c r="G9" s="312">
        <f t="shared" si="0"/>
        <v>844</v>
      </c>
      <c r="H9" s="312">
        <f t="shared" si="0"/>
        <v>13603</v>
      </c>
      <c r="I9" s="313"/>
      <c r="J9" s="314" t="s">
        <v>18</v>
      </c>
      <c r="K9" s="311">
        <f>K13+K20</f>
        <v>272.77999999999997</v>
      </c>
      <c r="L9" s="310">
        <f t="shared" ref="L9:Q10" si="1">L13+L20</f>
        <v>13235.5</v>
      </c>
      <c r="M9" s="310">
        <f t="shared" si="1"/>
        <v>10788.5</v>
      </c>
      <c r="N9" s="310">
        <f t="shared" si="1"/>
        <v>877</v>
      </c>
      <c r="O9" s="310">
        <f t="shared" si="1"/>
        <v>2791.5</v>
      </c>
      <c r="P9" s="310">
        <f t="shared" si="1"/>
        <v>550.5</v>
      </c>
      <c r="Q9" s="315">
        <f t="shared" si="1"/>
        <v>6275.5</v>
      </c>
      <c r="R9" s="316" t="s">
        <v>18</v>
      </c>
      <c r="S9" s="311">
        <f>S13+S20</f>
        <v>249.05</v>
      </c>
      <c r="T9" s="310">
        <f t="shared" ref="T9:Y10" si="2">T13+T20</f>
        <v>13784.5</v>
      </c>
      <c r="U9" s="310">
        <f t="shared" si="2"/>
        <v>11862</v>
      </c>
      <c r="V9" s="310">
        <f t="shared" si="2"/>
        <v>2475</v>
      </c>
      <c r="W9" s="310">
        <f t="shared" si="2"/>
        <v>1636</v>
      </c>
      <c r="X9" s="310">
        <f t="shared" si="2"/>
        <v>293.5</v>
      </c>
      <c r="Y9" s="310">
        <f t="shared" si="2"/>
        <v>7327.5</v>
      </c>
      <c r="Z9" s="317"/>
      <c r="AA9" s="310" t="s">
        <v>18</v>
      </c>
      <c r="AB9" s="311">
        <f>AB13+AB20</f>
        <v>99.88</v>
      </c>
      <c r="AC9" s="310">
        <f t="shared" ref="AC9:AH10" si="3">AC13+AC20</f>
        <v>7277</v>
      </c>
      <c r="AD9" s="310">
        <f t="shared" si="3"/>
        <v>6126</v>
      </c>
      <c r="AE9" s="310">
        <f t="shared" si="3"/>
        <v>2267</v>
      </c>
      <c r="AF9" s="310">
        <f t="shared" si="3"/>
        <v>304.5</v>
      </c>
      <c r="AG9" s="310">
        <f t="shared" si="3"/>
        <v>88</v>
      </c>
      <c r="AH9" s="310">
        <f t="shared" si="3"/>
        <v>3410.5</v>
      </c>
      <c r="AI9" s="317"/>
      <c r="AJ9" s="310" t="s">
        <v>18</v>
      </c>
      <c r="AK9" s="311">
        <f>AK13+AK20</f>
        <v>0</v>
      </c>
      <c r="AL9" s="310">
        <f t="shared" ref="AL9:AQ10" si="4">AL13+AL20</f>
        <v>0</v>
      </c>
      <c r="AM9" s="310">
        <f t="shared" si="4"/>
        <v>0</v>
      </c>
      <c r="AN9" s="310">
        <f t="shared" si="4"/>
        <v>0</v>
      </c>
      <c r="AO9" s="310">
        <f t="shared" si="4"/>
        <v>0</v>
      </c>
      <c r="AP9" s="310">
        <f t="shared" si="4"/>
        <v>0</v>
      </c>
      <c r="AQ9" s="310">
        <f t="shared" si="4"/>
        <v>0</v>
      </c>
    </row>
    <row r="10" spans="1:55" s="325" customFormat="1">
      <c r="A10" s="318" t="s">
        <v>19</v>
      </c>
      <c r="B10" s="426">
        <f t="shared" si="0"/>
        <v>658.4</v>
      </c>
      <c r="C10" s="319">
        <f>L10+T10+AL10</f>
        <v>24726</v>
      </c>
      <c r="D10" s="319">
        <f>M10+U10+AM10</f>
        <v>22810</v>
      </c>
      <c r="E10" s="319">
        <f t="shared" si="0"/>
        <v>1958</v>
      </c>
      <c r="F10" s="319">
        <f t="shared" si="0"/>
        <v>862</v>
      </c>
      <c r="G10" s="319">
        <f t="shared" si="0"/>
        <v>63</v>
      </c>
      <c r="H10" s="319">
        <f t="shared" si="0"/>
        <v>19927</v>
      </c>
      <c r="I10" s="313"/>
      <c r="J10" s="320" t="s">
        <v>19</v>
      </c>
      <c r="K10" s="321">
        <f>K14+K21</f>
        <v>348.1</v>
      </c>
      <c r="L10" s="322">
        <f t="shared" si="1"/>
        <v>13094</v>
      </c>
      <c r="M10" s="322">
        <f t="shared" si="1"/>
        <v>11938</v>
      </c>
      <c r="N10" s="322">
        <f t="shared" si="1"/>
        <v>1188</v>
      </c>
      <c r="O10" s="322">
        <f t="shared" si="1"/>
        <v>739</v>
      </c>
      <c r="P10" s="322">
        <f t="shared" si="1"/>
        <v>55</v>
      </c>
      <c r="Q10" s="323">
        <f t="shared" si="1"/>
        <v>9956</v>
      </c>
      <c r="R10" s="324" t="s">
        <v>19</v>
      </c>
      <c r="S10" s="321">
        <f>S14+S21</f>
        <v>276.5</v>
      </c>
      <c r="T10" s="322">
        <f t="shared" si="2"/>
        <v>10514</v>
      </c>
      <c r="U10" s="322">
        <f t="shared" si="2"/>
        <v>9913</v>
      </c>
      <c r="V10" s="322">
        <f t="shared" si="2"/>
        <v>672</v>
      </c>
      <c r="W10" s="322">
        <f t="shared" si="2"/>
        <v>65</v>
      </c>
      <c r="X10" s="322">
        <f t="shared" si="2"/>
        <v>8</v>
      </c>
      <c r="Y10" s="322">
        <f t="shared" si="2"/>
        <v>9168</v>
      </c>
      <c r="AA10" s="326" t="s">
        <v>19</v>
      </c>
      <c r="AB10" s="321">
        <f>AB14+AB21</f>
        <v>67.400000000000006</v>
      </c>
      <c r="AC10" s="322">
        <f t="shared" si="3"/>
        <v>3104</v>
      </c>
      <c r="AD10" s="322">
        <f t="shared" si="3"/>
        <v>2895</v>
      </c>
      <c r="AE10" s="322">
        <f t="shared" si="3"/>
        <v>535</v>
      </c>
      <c r="AF10" s="322">
        <f t="shared" si="3"/>
        <v>27</v>
      </c>
      <c r="AG10" s="322">
        <f t="shared" si="3"/>
        <v>8</v>
      </c>
      <c r="AH10" s="322">
        <f t="shared" si="3"/>
        <v>2325</v>
      </c>
      <c r="AJ10" s="326" t="s">
        <v>19</v>
      </c>
      <c r="AK10" s="321">
        <f>AK14+AK21</f>
        <v>33.799999999999997</v>
      </c>
      <c r="AL10" s="321">
        <f t="shared" si="4"/>
        <v>1118</v>
      </c>
      <c r="AM10" s="321">
        <f t="shared" si="4"/>
        <v>959</v>
      </c>
      <c r="AN10" s="321">
        <f t="shared" si="4"/>
        <v>98</v>
      </c>
      <c r="AO10" s="321">
        <f t="shared" si="4"/>
        <v>58</v>
      </c>
      <c r="AP10" s="321">
        <f t="shared" si="4"/>
        <v>0</v>
      </c>
      <c r="AQ10" s="321">
        <f t="shared" si="4"/>
        <v>803</v>
      </c>
    </row>
    <row r="11" spans="1:55" s="325" customFormat="1">
      <c r="A11" s="318" t="s">
        <v>20</v>
      </c>
      <c r="B11" s="319">
        <f>B10/B9*100</f>
        <v>126.17135848839662</v>
      </c>
      <c r="C11" s="319">
        <f t="shared" ref="C11:H11" si="5">C10/C9*100</f>
        <v>91.509992598075499</v>
      </c>
      <c r="D11" s="319">
        <f t="shared" si="5"/>
        <v>100.70417871570163</v>
      </c>
      <c r="E11" s="319">
        <f t="shared" si="5"/>
        <v>58.412887828162297</v>
      </c>
      <c r="F11" s="319">
        <f t="shared" si="5"/>
        <v>19.469226425748165</v>
      </c>
      <c r="G11" s="319">
        <f t="shared" si="5"/>
        <v>7.4644549763033172</v>
      </c>
      <c r="H11" s="319">
        <f t="shared" si="5"/>
        <v>146.4897449092112</v>
      </c>
      <c r="I11" s="313"/>
      <c r="J11" s="320" t="s">
        <v>20</v>
      </c>
      <c r="K11" s="327">
        <f>K10/K9*100</f>
        <v>127.61199501429725</v>
      </c>
      <c r="L11" s="327">
        <f t="shared" ref="L11:Q11" si="6">L10/L9*100</f>
        <v>98.930905519247474</v>
      </c>
      <c r="M11" s="327">
        <f t="shared" si="6"/>
        <v>110.65486397552951</v>
      </c>
      <c r="N11" s="327">
        <f t="shared" si="6"/>
        <v>135.46180159635119</v>
      </c>
      <c r="O11" s="327">
        <f t="shared" si="6"/>
        <v>26.473222281927278</v>
      </c>
      <c r="P11" s="327">
        <f t="shared" si="6"/>
        <v>9.9909173478655777</v>
      </c>
      <c r="Q11" s="328">
        <f t="shared" si="6"/>
        <v>158.64871324994024</v>
      </c>
      <c r="R11" s="324" t="s">
        <v>20</v>
      </c>
      <c r="S11" s="327">
        <f>S10/S9*100</f>
        <v>111.02188315599277</v>
      </c>
      <c r="T11" s="327">
        <f t="shared" ref="T11:Y11" si="7">T10/T9*100</f>
        <v>76.274075954876849</v>
      </c>
      <c r="U11" s="327">
        <f t="shared" si="7"/>
        <v>83.569381217332662</v>
      </c>
      <c r="V11" s="327">
        <f t="shared" si="7"/>
        <v>27.151515151515156</v>
      </c>
      <c r="W11" s="327">
        <f t="shared" si="7"/>
        <v>3.973105134474328</v>
      </c>
      <c r="X11" s="327">
        <f t="shared" si="7"/>
        <v>2.7257240204429301</v>
      </c>
      <c r="Y11" s="327">
        <f t="shared" si="7"/>
        <v>125.11770726714433</v>
      </c>
      <c r="AA11" s="326" t="s">
        <v>20</v>
      </c>
      <c r="AB11" s="327">
        <f>AB10/AB9*100</f>
        <v>67.48097717260714</v>
      </c>
      <c r="AC11" s="327">
        <f t="shared" ref="AC11:AH11" si="8">AC10/AC9*100</f>
        <v>42.65494022261921</v>
      </c>
      <c r="AD11" s="327">
        <f t="shared" si="8"/>
        <v>47.257590597453472</v>
      </c>
      <c r="AE11" s="327">
        <f t="shared" si="8"/>
        <v>23.599470666078517</v>
      </c>
      <c r="AF11" s="327">
        <f t="shared" si="8"/>
        <v>8.8669950738916263</v>
      </c>
      <c r="AG11" s="327">
        <f t="shared" si="8"/>
        <v>9.0909090909090917</v>
      </c>
      <c r="AH11" s="327">
        <f t="shared" si="8"/>
        <v>68.171822313443769</v>
      </c>
      <c r="AJ11" s="326" t="s">
        <v>20</v>
      </c>
      <c r="AK11" s="327" t="e">
        <f>AK10/AK9*100</f>
        <v>#DIV/0!</v>
      </c>
      <c r="AL11" s="327" t="e">
        <f t="shared" ref="AL11:AQ11" si="9">AL10/AL9*100</f>
        <v>#DIV/0!</v>
      </c>
      <c r="AM11" s="327" t="e">
        <f t="shared" si="9"/>
        <v>#DIV/0!</v>
      </c>
      <c r="AN11" s="327" t="e">
        <f t="shared" si="9"/>
        <v>#DIV/0!</v>
      </c>
      <c r="AO11" s="327" t="e">
        <f t="shared" si="9"/>
        <v>#DIV/0!</v>
      </c>
      <c r="AP11" s="327" t="e">
        <f t="shared" si="9"/>
        <v>#DIV/0!</v>
      </c>
      <c r="AQ11" s="327" t="e">
        <f t="shared" si="9"/>
        <v>#DIV/0!</v>
      </c>
    </row>
    <row r="12" spans="1:55" s="330" customFormat="1" ht="12.75" customHeight="1">
      <c r="A12" s="498" t="s">
        <v>11</v>
      </c>
      <c r="B12" s="499"/>
      <c r="C12" s="499"/>
      <c r="D12" s="499"/>
      <c r="E12" s="499"/>
      <c r="F12" s="499"/>
      <c r="G12" s="499"/>
      <c r="H12" s="500"/>
      <c r="I12" s="329"/>
      <c r="J12" s="501" t="s">
        <v>11</v>
      </c>
      <c r="K12" s="496"/>
      <c r="L12" s="496"/>
      <c r="M12" s="496"/>
      <c r="N12" s="496"/>
      <c r="O12" s="496"/>
      <c r="P12" s="496"/>
      <c r="Q12" s="502"/>
      <c r="R12" s="503" t="s">
        <v>11</v>
      </c>
      <c r="S12" s="504"/>
      <c r="T12" s="504"/>
      <c r="U12" s="504"/>
      <c r="V12" s="504"/>
      <c r="W12" s="504"/>
      <c r="X12" s="504"/>
      <c r="Y12" s="505"/>
      <c r="AA12" s="506" t="s">
        <v>11</v>
      </c>
      <c r="AB12" s="504"/>
      <c r="AC12" s="504"/>
      <c r="AD12" s="504"/>
      <c r="AE12" s="504"/>
      <c r="AF12" s="504"/>
      <c r="AG12" s="504"/>
      <c r="AH12" s="505"/>
      <c r="AJ12" s="495" t="s">
        <v>11</v>
      </c>
      <c r="AK12" s="496"/>
      <c r="AL12" s="496"/>
      <c r="AM12" s="496"/>
      <c r="AN12" s="496"/>
      <c r="AO12" s="496"/>
      <c r="AP12" s="496"/>
      <c r="AQ12" s="497"/>
    </row>
    <row r="13" spans="1:55" s="330" customFormat="1">
      <c r="A13" s="331" t="s">
        <v>18</v>
      </c>
      <c r="B13" s="332">
        <f t="shared" ref="B13:H14" si="10">K13+S13+AK13</f>
        <v>78.969999999999985</v>
      </c>
      <c r="C13" s="331">
        <f t="shared" si="10"/>
        <v>5329.5</v>
      </c>
      <c r="D13" s="331">
        <f t="shared" si="10"/>
        <v>4141</v>
      </c>
      <c r="E13" s="331">
        <f t="shared" si="10"/>
        <v>1389</v>
      </c>
      <c r="F13" s="331">
        <f t="shared" si="10"/>
        <v>1510.5</v>
      </c>
      <c r="G13" s="331">
        <f t="shared" si="10"/>
        <v>247</v>
      </c>
      <c r="H13" s="331">
        <f t="shared" si="10"/>
        <v>853</v>
      </c>
      <c r="I13" s="333"/>
      <c r="J13" s="334" t="s">
        <v>18</v>
      </c>
      <c r="K13" s="332">
        <v>60.039999999999978</v>
      </c>
      <c r="L13" s="335">
        <v>3759</v>
      </c>
      <c r="M13" s="335">
        <v>2858</v>
      </c>
      <c r="N13" s="335">
        <v>530.5</v>
      </c>
      <c r="O13" s="335">
        <v>1444.5</v>
      </c>
      <c r="P13" s="335">
        <v>230</v>
      </c>
      <c r="Q13" s="336">
        <v>524.5</v>
      </c>
      <c r="R13" s="337" t="s">
        <v>18</v>
      </c>
      <c r="S13" s="338">
        <v>18.930000000000003</v>
      </c>
      <c r="T13" s="339">
        <v>1570.5</v>
      </c>
      <c r="U13" s="339">
        <v>1283</v>
      </c>
      <c r="V13" s="339">
        <v>858.5</v>
      </c>
      <c r="W13" s="339">
        <v>66</v>
      </c>
      <c r="X13" s="339">
        <v>17</v>
      </c>
      <c r="Y13" s="339">
        <v>328.5</v>
      </c>
      <c r="Z13" s="284"/>
      <c r="AA13" s="331" t="s">
        <v>18</v>
      </c>
      <c r="AB13" s="338">
        <v>17.380000000000003</v>
      </c>
      <c r="AC13" s="339">
        <v>1464</v>
      </c>
      <c r="AD13" s="339">
        <v>1197</v>
      </c>
      <c r="AE13" s="339">
        <v>802.5</v>
      </c>
      <c r="AF13" s="339">
        <v>61.5</v>
      </c>
      <c r="AG13" s="339">
        <v>16</v>
      </c>
      <c r="AH13" s="339">
        <v>304.5</v>
      </c>
      <c r="AI13" s="284"/>
      <c r="AJ13" s="331" t="s">
        <v>18</v>
      </c>
      <c r="AK13" s="331">
        <v>0</v>
      </c>
      <c r="AL13" s="331">
        <v>0</v>
      </c>
      <c r="AM13" s="331">
        <f>AN13+AO13+AP13+AQ13</f>
        <v>0</v>
      </c>
      <c r="AN13" s="331">
        <v>0</v>
      </c>
      <c r="AO13" s="331">
        <v>0</v>
      </c>
      <c r="AP13" s="331">
        <v>0</v>
      </c>
      <c r="AQ13" s="331">
        <v>0</v>
      </c>
    </row>
    <row r="14" spans="1:55" s="330" customFormat="1">
      <c r="A14" s="340" t="s">
        <v>19</v>
      </c>
      <c r="B14" s="341">
        <f>K14+S14+AK14</f>
        <v>72.099999999999994</v>
      </c>
      <c r="C14" s="342">
        <f t="shared" si="10"/>
        <v>4726</v>
      </c>
      <c r="D14" s="342">
        <f t="shared" si="10"/>
        <v>3840</v>
      </c>
      <c r="E14" s="342">
        <f t="shared" si="10"/>
        <v>1026</v>
      </c>
      <c r="F14" s="342">
        <f t="shared" si="10"/>
        <v>755</v>
      </c>
      <c r="G14" s="342">
        <f t="shared" si="10"/>
        <v>37</v>
      </c>
      <c r="H14" s="342">
        <f t="shared" si="10"/>
        <v>2022</v>
      </c>
      <c r="I14" s="343"/>
      <c r="J14" s="344" t="s">
        <v>19</v>
      </c>
      <c r="K14" s="345">
        <v>39.1</v>
      </c>
      <c r="L14" s="345">
        <v>3339</v>
      </c>
      <c r="M14" s="340">
        <f>N14+O14+P14+Q14</f>
        <v>2668</v>
      </c>
      <c r="N14" s="345">
        <v>818</v>
      </c>
      <c r="O14" s="345">
        <v>662</v>
      </c>
      <c r="P14" s="345">
        <v>37</v>
      </c>
      <c r="Q14" s="346">
        <v>1151</v>
      </c>
      <c r="R14" s="347" t="s">
        <v>19</v>
      </c>
      <c r="S14" s="345">
        <v>4.5999999999999996</v>
      </c>
      <c r="T14" s="345">
        <v>285</v>
      </c>
      <c r="U14" s="340">
        <f>SUM(V14:Y14)</f>
        <v>229</v>
      </c>
      <c r="V14" s="345">
        <v>110</v>
      </c>
      <c r="W14" s="345">
        <v>35</v>
      </c>
      <c r="X14" s="345">
        <v>0</v>
      </c>
      <c r="Y14" s="345">
        <v>84</v>
      </c>
      <c r="AA14" s="345" t="s">
        <v>19</v>
      </c>
      <c r="AB14" s="345">
        <v>2.1</v>
      </c>
      <c r="AC14" s="345">
        <v>201</v>
      </c>
      <c r="AD14" s="340">
        <v>161</v>
      </c>
      <c r="AE14" s="345">
        <v>90</v>
      </c>
      <c r="AF14" s="345">
        <v>20</v>
      </c>
      <c r="AG14" s="345">
        <v>0</v>
      </c>
      <c r="AH14" s="345">
        <v>51</v>
      </c>
      <c r="AJ14" s="345" t="s">
        <v>19</v>
      </c>
      <c r="AK14" s="345">
        <v>28.4</v>
      </c>
      <c r="AL14" s="345">
        <v>1102</v>
      </c>
      <c r="AM14" s="340">
        <v>943</v>
      </c>
      <c r="AN14" s="345">
        <v>98</v>
      </c>
      <c r="AO14" s="345">
        <v>58</v>
      </c>
      <c r="AP14" s="345">
        <v>0</v>
      </c>
      <c r="AQ14" s="345">
        <v>787</v>
      </c>
    </row>
    <row r="15" spans="1:55" s="330" customFormat="1">
      <c r="A15" s="340" t="s">
        <v>20</v>
      </c>
      <c r="B15" s="342">
        <f>B14/B13*100</f>
        <v>91.300493858427259</v>
      </c>
      <c r="C15" s="342">
        <f t="shared" ref="C15:H15" si="11">C14/C13*100</f>
        <v>88.676236044657102</v>
      </c>
      <c r="D15" s="342">
        <f t="shared" si="11"/>
        <v>92.731224341946401</v>
      </c>
      <c r="E15" s="342">
        <f t="shared" si="11"/>
        <v>73.866090712742988</v>
      </c>
      <c r="F15" s="342">
        <f t="shared" si="11"/>
        <v>49.983449189010258</v>
      </c>
      <c r="G15" s="342">
        <f t="shared" si="11"/>
        <v>14.979757085020243</v>
      </c>
      <c r="H15" s="342">
        <f t="shared" si="11"/>
        <v>237.04572098475967</v>
      </c>
      <c r="I15" s="343"/>
      <c r="J15" s="344" t="s">
        <v>20</v>
      </c>
      <c r="K15" s="348">
        <f>K14/K13*100</f>
        <v>65.123251165889428</v>
      </c>
      <c r="L15" s="348">
        <f t="shared" ref="L15:Q15" si="12">L14/L13*100</f>
        <v>88.826815642458101</v>
      </c>
      <c r="M15" s="348">
        <f t="shared" si="12"/>
        <v>93.351994401679491</v>
      </c>
      <c r="N15" s="348">
        <f t="shared" si="12"/>
        <v>154.19415645617343</v>
      </c>
      <c r="O15" s="348">
        <f t="shared" si="12"/>
        <v>45.829006576670125</v>
      </c>
      <c r="P15" s="348">
        <f t="shared" si="12"/>
        <v>16.086956521739129</v>
      </c>
      <c r="Q15" s="349">
        <f t="shared" si="12"/>
        <v>219.44709246901812</v>
      </c>
      <c r="R15" s="347" t="s">
        <v>20</v>
      </c>
      <c r="S15" s="348">
        <f>S14/S13*100</f>
        <v>24.300052826201789</v>
      </c>
      <c r="T15" s="348">
        <f t="shared" ref="T15:Y15" si="13">T14/T13*100</f>
        <v>18.147086914995224</v>
      </c>
      <c r="U15" s="348">
        <f t="shared" si="13"/>
        <v>17.848791893998442</v>
      </c>
      <c r="V15" s="348">
        <f t="shared" si="13"/>
        <v>12.813046010483401</v>
      </c>
      <c r="W15" s="348">
        <f t="shared" si="13"/>
        <v>53.030303030303031</v>
      </c>
      <c r="X15" s="348">
        <f t="shared" si="13"/>
        <v>0</v>
      </c>
      <c r="Y15" s="348">
        <f t="shared" si="13"/>
        <v>25.570776255707763</v>
      </c>
      <c r="AA15" s="345" t="s">
        <v>20</v>
      </c>
      <c r="AB15" s="348">
        <f>AB14/AB13*100</f>
        <v>12.082853855005753</v>
      </c>
      <c r="AC15" s="348">
        <f t="shared" ref="AC15:AH15" si="14">AC14/AC13*100</f>
        <v>13.729508196721312</v>
      </c>
      <c r="AD15" s="348">
        <f t="shared" si="14"/>
        <v>13.450292397660817</v>
      </c>
      <c r="AE15" s="348">
        <f t="shared" si="14"/>
        <v>11.214953271028037</v>
      </c>
      <c r="AF15" s="348">
        <f t="shared" si="14"/>
        <v>32.520325203252028</v>
      </c>
      <c r="AG15" s="348">
        <f t="shared" si="14"/>
        <v>0</v>
      </c>
      <c r="AH15" s="348">
        <f t="shared" si="14"/>
        <v>16.748768472906402</v>
      </c>
      <c r="AJ15" s="345" t="s">
        <v>20</v>
      </c>
      <c r="AK15" s="348" t="e">
        <f t="shared" ref="AK15:AQ15" si="15">AK14/AK13*100</f>
        <v>#DIV/0!</v>
      </c>
      <c r="AL15" s="348" t="e">
        <f t="shared" si="15"/>
        <v>#DIV/0!</v>
      </c>
      <c r="AM15" s="348" t="e">
        <f t="shared" si="15"/>
        <v>#DIV/0!</v>
      </c>
      <c r="AN15" s="348" t="e">
        <f t="shared" si="15"/>
        <v>#DIV/0!</v>
      </c>
      <c r="AO15" s="348" t="e">
        <f t="shared" si="15"/>
        <v>#DIV/0!</v>
      </c>
      <c r="AP15" s="348" t="e">
        <f t="shared" si="15"/>
        <v>#DIV/0!</v>
      </c>
      <c r="AQ15" s="348" t="e">
        <f t="shared" si="15"/>
        <v>#DIV/0!</v>
      </c>
    </row>
    <row r="16" spans="1:55" s="330" customFormat="1">
      <c r="A16" s="340" t="s">
        <v>13</v>
      </c>
      <c r="B16" s="341">
        <f t="shared" ref="B16:H18" si="16">K16+S16+AK16</f>
        <v>38.200000000000003</v>
      </c>
      <c r="C16" s="340">
        <f t="shared" si="16"/>
        <v>2183</v>
      </c>
      <c r="D16" s="340">
        <f t="shared" si="16"/>
        <v>1677</v>
      </c>
      <c r="E16" s="340">
        <f t="shared" si="16"/>
        <v>448</v>
      </c>
      <c r="F16" s="340">
        <f t="shared" si="16"/>
        <v>256</v>
      </c>
      <c r="G16" s="340">
        <f t="shared" si="16"/>
        <v>1</v>
      </c>
      <c r="H16" s="340">
        <f t="shared" si="16"/>
        <v>972</v>
      </c>
      <c r="I16" s="333"/>
      <c r="J16" s="344" t="s">
        <v>13</v>
      </c>
      <c r="K16" s="345">
        <v>16</v>
      </c>
      <c r="L16" s="345">
        <v>1305</v>
      </c>
      <c r="M16" s="340">
        <f>N16+O16+P16+Q16</f>
        <v>947</v>
      </c>
      <c r="N16" s="345">
        <v>352</v>
      </c>
      <c r="O16" s="345">
        <v>214</v>
      </c>
      <c r="P16" s="345">
        <v>1</v>
      </c>
      <c r="Q16" s="346">
        <v>380</v>
      </c>
      <c r="R16" s="347" t="s">
        <v>13</v>
      </c>
      <c r="S16" s="345">
        <v>3.4</v>
      </c>
      <c r="T16" s="345">
        <v>95</v>
      </c>
      <c r="U16" s="340">
        <v>70</v>
      </c>
      <c r="V16" s="345">
        <v>31</v>
      </c>
      <c r="W16" s="345">
        <v>9</v>
      </c>
      <c r="X16" s="345">
        <v>0</v>
      </c>
      <c r="Y16" s="345">
        <v>30</v>
      </c>
      <c r="AA16" s="345" t="s">
        <v>13</v>
      </c>
      <c r="AB16" s="345">
        <v>1.6</v>
      </c>
      <c r="AC16" s="345">
        <v>94</v>
      </c>
      <c r="AD16" s="340">
        <v>69</v>
      </c>
      <c r="AE16" s="345">
        <v>31</v>
      </c>
      <c r="AF16" s="345">
        <v>9</v>
      </c>
      <c r="AG16" s="345">
        <v>0</v>
      </c>
      <c r="AH16" s="345">
        <v>29</v>
      </c>
      <c r="AJ16" s="345" t="s">
        <v>13</v>
      </c>
      <c r="AK16" s="345">
        <v>18.8</v>
      </c>
      <c r="AL16" s="345">
        <v>783</v>
      </c>
      <c r="AM16" s="340">
        <v>660</v>
      </c>
      <c r="AN16" s="345">
        <v>65</v>
      </c>
      <c r="AO16" s="345">
        <v>33</v>
      </c>
      <c r="AP16" s="345">
        <v>0</v>
      </c>
      <c r="AQ16" s="345">
        <v>562</v>
      </c>
    </row>
    <row r="17" spans="1:43" s="330" customFormat="1">
      <c r="A17" s="340" t="s">
        <v>14</v>
      </c>
      <c r="B17" s="341">
        <f t="shared" si="16"/>
        <v>14.5</v>
      </c>
      <c r="C17" s="340">
        <f t="shared" si="16"/>
        <v>1378</v>
      </c>
      <c r="D17" s="340">
        <f t="shared" si="16"/>
        <v>1149</v>
      </c>
      <c r="E17" s="340">
        <f t="shared" si="16"/>
        <v>314</v>
      </c>
      <c r="F17" s="340">
        <f t="shared" si="16"/>
        <v>323</v>
      </c>
      <c r="G17" s="340">
        <f t="shared" si="16"/>
        <v>35</v>
      </c>
      <c r="H17" s="340">
        <f t="shared" si="16"/>
        <v>477</v>
      </c>
      <c r="I17" s="333"/>
      <c r="J17" s="344" t="s">
        <v>14</v>
      </c>
      <c r="K17" s="345">
        <v>14.5</v>
      </c>
      <c r="L17" s="345">
        <v>1378</v>
      </c>
      <c r="M17" s="340">
        <f>N17+O17+P17+Q17</f>
        <v>1149</v>
      </c>
      <c r="N17" s="345">
        <v>314</v>
      </c>
      <c r="O17" s="345">
        <v>323</v>
      </c>
      <c r="P17" s="345">
        <v>35</v>
      </c>
      <c r="Q17" s="346">
        <v>477</v>
      </c>
      <c r="R17" s="347" t="s">
        <v>14</v>
      </c>
      <c r="S17" s="345"/>
      <c r="T17" s="345"/>
      <c r="U17" s="340"/>
      <c r="V17" s="345"/>
      <c r="W17" s="345"/>
      <c r="X17" s="345"/>
      <c r="Y17" s="345"/>
      <c r="AA17" s="345" t="s">
        <v>14</v>
      </c>
      <c r="AB17" s="345"/>
      <c r="AC17" s="345"/>
      <c r="AD17" s="340"/>
      <c r="AE17" s="345"/>
      <c r="AF17" s="345"/>
      <c r="AG17" s="345"/>
      <c r="AH17" s="345"/>
      <c r="AJ17" s="345" t="s">
        <v>14</v>
      </c>
      <c r="AK17" s="345"/>
      <c r="AL17" s="345"/>
      <c r="AM17" s="340"/>
      <c r="AN17" s="345"/>
      <c r="AO17" s="345"/>
      <c r="AP17" s="345"/>
      <c r="AQ17" s="345"/>
    </row>
    <row r="18" spans="1:43" s="330" customFormat="1">
      <c r="A18" s="340" t="s">
        <v>15</v>
      </c>
      <c r="B18" s="341">
        <f t="shared" si="16"/>
        <v>0</v>
      </c>
      <c r="C18" s="340">
        <f t="shared" si="16"/>
        <v>0</v>
      </c>
      <c r="D18" s="340">
        <f t="shared" si="16"/>
        <v>0</v>
      </c>
      <c r="E18" s="340">
        <f t="shared" si="16"/>
        <v>0</v>
      </c>
      <c r="F18" s="340">
        <f t="shared" si="16"/>
        <v>0</v>
      </c>
      <c r="G18" s="340">
        <f t="shared" si="16"/>
        <v>0</v>
      </c>
      <c r="H18" s="340">
        <f t="shared" si="16"/>
        <v>0</v>
      </c>
      <c r="I18" s="333"/>
      <c r="J18" s="344" t="s">
        <v>15</v>
      </c>
      <c r="K18" s="345"/>
      <c r="L18" s="345"/>
      <c r="M18" s="340"/>
      <c r="N18" s="345"/>
      <c r="O18" s="345"/>
      <c r="P18" s="345"/>
      <c r="Q18" s="346"/>
      <c r="R18" s="347" t="s">
        <v>15</v>
      </c>
      <c r="S18" s="345"/>
      <c r="T18" s="345"/>
      <c r="U18" s="340"/>
      <c r="V18" s="345"/>
      <c r="W18" s="345"/>
      <c r="X18" s="345"/>
      <c r="Y18" s="345"/>
      <c r="AA18" s="345" t="s">
        <v>15</v>
      </c>
      <c r="AB18" s="345"/>
      <c r="AC18" s="345"/>
      <c r="AD18" s="340"/>
      <c r="AE18" s="345"/>
      <c r="AF18" s="345"/>
      <c r="AG18" s="345"/>
      <c r="AH18" s="345"/>
      <c r="AJ18" s="345" t="s">
        <v>15</v>
      </c>
      <c r="AK18" s="345"/>
      <c r="AL18" s="345"/>
      <c r="AM18" s="340"/>
      <c r="AN18" s="345"/>
      <c r="AO18" s="345"/>
      <c r="AP18" s="345"/>
      <c r="AQ18" s="345"/>
    </row>
    <row r="19" spans="1:43" s="330" customFormat="1">
      <c r="A19" s="498" t="s">
        <v>16</v>
      </c>
      <c r="B19" s="499"/>
      <c r="C19" s="499"/>
      <c r="D19" s="499"/>
      <c r="E19" s="499"/>
      <c r="F19" s="499"/>
      <c r="G19" s="499"/>
      <c r="H19" s="500"/>
      <c r="I19" s="329"/>
      <c r="J19" s="501" t="s">
        <v>16</v>
      </c>
      <c r="K19" s="496"/>
      <c r="L19" s="496"/>
      <c r="M19" s="496"/>
      <c r="N19" s="496"/>
      <c r="O19" s="496"/>
      <c r="P19" s="496"/>
      <c r="Q19" s="502"/>
      <c r="R19" s="501" t="s">
        <v>16</v>
      </c>
      <c r="S19" s="496"/>
      <c r="T19" s="496"/>
      <c r="U19" s="496"/>
      <c r="V19" s="496"/>
      <c r="W19" s="496"/>
      <c r="X19" s="496"/>
      <c r="Y19" s="497"/>
      <c r="AA19" s="495" t="s">
        <v>16</v>
      </c>
      <c r="AB19" s="496"/>
      <c r="AC19" s="496"/>
      <c r="AD19" s="496"/>
      <c r="AE19" s="496"/>
      <c r="AF19" s="496"/>
      <c r="AG19" s="496"/>
      <c r="AH19" s="497"/>
      <c r="AJ19" s="495" t="s">
        <v>16</v>
      </c>
      <c r="AK19" s="496"/>
      <c r="AL19" s="496"/>
      <c r="AM19" s="496"/>
      <c r="AN19" s="496"/>
      <c r="AO19" s="496"/>
      <c r="AP19" s="496"/>
      <c r="AQ19" s="497"/>
    </row>
    <row r="20" spans="1:43" s="330" customFormat="1">
      <c r="A20" s="331" t="s">
        <v>18</v>
      </c>
      <c r="B20" s="332">
        <f t="shared" ref="B20:H21" si="17">K20+S20+AK20</f>
        <v>442.86</v>
      </c>
      <c r="C20" s="335">
        <f t="shared" si="17"/>
        <v>21690.5</v>
      </c>
      <c r="D20" s="335">
        <f t="shared" si="17"/>
        <v>18509.5</v>
      </c>
      <c r="E20" s="335">
        <f t="shared" si="17"/>
        <v>1963</v>
      </c>
      <c r="F20" s="335">
        <f t="shared" si="17"/>
        <v>2917</v>
      </c>
      <c r="G20" s="335">
        <f t="shared" si="17"/>
        <v>597</v>
      </c>
      <c r="H20" s="335">
        <f t="shared" si="17"/>
        <v>12750</v>
      </c>
      <c r="I20" s="343"/>
      <c r="J20" s="334" t="s">
        <v>18</v>
      </c>
      <c r="K20" s="332">
        <f>K23+K26+K29+K32+K35+K38</f>
        <v>212.74</v>
      </c>
      <c r="L20" s="331">
        <f t="shared" ref="L20:Q21" si="18">L23+L26+L29+L32+L35+L38</f>
        <v>9476.5</v>
      </c>
      <c r="M20" s="331">
        <f t="shared" si="18"/>
        <v>7930.5</v>
      </c>
      <c r="N20" s="331">
        <f t="shared" si="18"/>
        <v>346.5</v>
      </c>
      <c r="O20" s="331">
        <f t="shared" si="18"/>
        <v>1347</v>
      </c>
      <c r="P20" s="331">
        <f t="shared" si="18"/>
        <v>320.5</v>
      </c>
      <c r="Q20" s="331">
        <f t="shared" si="18"/>
        <v>5751</v>
      </c>
      <c r="R20" s="337" t="s">
        <v>18</v>
      </c>
      <c r="S20" s="332">
        <f>S23+S26+S29+S32+S35+S38</f>
        <v>230.12</v>
      </c>
      <c r="T20" s="331">
        <f t="shared" ref="T20:Y21" si="19">T23+T26+T29+T32+T35+T38</f>
        <v>12214</v>
      </c>
      <c r="U20" s="331">
        <f t="shared" si="19"/>
        <v>10579</v>
      </c>
      <c r="V20" s="331">
        <f t="shared" si="19"/>
        <v>1616.5</v>
      </c>
      <c r="W20" s="331">
        <f t="shared" si="19"/>
        <v>1570</v>
      </c>
      <c r="X20" s="331">
        <f t="shared" si="19"/>
        <v>276.5</v>
      </c>
      <c r="Y20" s="331">
        <f t="shared" si="19"/>
        <v>6999</v>
      </c>
      <c r="Z20" s="284"/>
      <c r="AA20" s="331" t="s">
        <v>18</v>
      </c>
      <c r="AB20" s="332">
        <f>AB23+AB26+AB29+AB32+AB35+AB38</f>
        <v>82.5</v>
      </c>
      <c r="AC20" s="331">
        <f t="shared" ref="AC20:AH21" si="20">AC23+AC26+AC29+AC32+AC35+AC38</f>
        <v>5813</v>
      </c>
      <c r="AD20" s="331">
        <f t="shared" si="20"/>
        <v>4929</v>
      </c>
      <c r="AE20" s="331">
        <f t="shared" si="20"/>
        <v>1464.5</v>
      </c>
      <c r="AF20" s="331">
        <f t="shared" si="20"/>
        <v>243</v>
      </c>
      <c r="AG20" s="331">
        <f t="shared" si="20"/>
        <v>72</v>
      </c>
      <c r="AH20" s="331">
        <f t="shared" si="20"/>
        <v>3106</v>
      </c>
      <c r="AI20" s="284"/>
      <c r="AJ20" s="331" t="s">
        <v>18</v>
      </c>
      <c r="AK20" s="332">
        <f>AK23+AK26+AK29+AK32+AK35+AK38</f>
        <v>0</v>
      </c>
      <c r="AL20" s="331">
        <f t="shared" ref="AL20:AQ21" si="21">AL23+AL26+AL29+AL32+AL35+AL38</f>
        <v>0</v>
      </c>
      <c r="AM20" s="331">
        <f t="shared" si="21"/>
        <v>0</v>
      </c>
      <c r="AN20" s="331">
        <f t="shared" si="21"/>
        <v>0</v>
      </c>
      <c r="AO20" s="331">
        <f t="shared" si="21"/>
        <v>0</v>
      </c>
      <c r="AP20" s="331">
        <f t="shared" si="21"/>
        <v>0</v>
      </c>
      <c r="AQ20" s="331">
        <f t="shared" si="21"/>
        <v>0</v>
      </c>
    </row>
    <row r="21" spans="1:43" s="330" customFormat="1">
      <c r="A21" s="340" t="s">
        <v>19</v>
      </c>
      <c r="B21" s="341">
        <f t="shared" si="17"/>
        <v>586.29999999999995</v>
      </c>
      <c r="C21" s="342">
        <f t="shared" si="17"/>
        <v>20000</v>
      </c>
      <c r="D21" s="342">
        <f t="shared" si="17"/>
        <v>18970</v>
      </c>
      <c r="E21" s="342">
        <f t="shared" si="17"/>
        <v>932</v>
      </c>
      <c r="F21" s="342">
        <f t="shared" si="17"/>
        <v>107</v>
      </c>
      <c r="G21" s="342">
        <f t="shared" si="17"/>
        <v>26</v>
      </c>
      <c r="H21" s="342">
        <f t="shared" si="17"/>
        <v>17905</v>
      </c>
      <c r="I21" s="343"/>
      <c r="J21" s="344" t="s">
        <v>19</v>
      </c>
      <c r="K21" s="350">
        <f>K24+K27+K30+K33+K36+K39</f>
        <v>309</v>
      </c>
      <c r="L21" s="351">
        <f t="shared" si="18"/>
        <v>9755</v>
      </c>
      <c r="M21" s="351">
        <f t="shared" si="18"/>
        <v>9270</v>
      </c>
      <c r="N21" s="351">
        <f t="shared" si="18"/>
        <v>370</v>
      </c>
      <c r="O21" s="351">
        <f t="shared" si="18"/>
        <v>77</v>
      </c>
      <c r="P21" s="351">
        <f t="shared" si="18"/>
        <v>18</v>
      </c>
      <c r="Q21" s="352">
        <f t="shared" si="18"/>
        <v>8805</v>
      </c>
      <c r="R21" s="347" t="s">
        <v>19</v>
      </c>
      <c r="S21" s="350">
        <f>S24+S27+S30+S33+S36+S39</f>
        <v>271.89999999999998</v>
      </c>
      <c r="T21" s="351">
        <f t="shared" si="19"/>
        <v>10229</v>
      </c>
      <c r="U21" s="351">
        <f t="shared" si="19"/>
        <v>9684</v>
      </c>
      <c r="V21" s="351">
        <f t="shared" si="19"/>
        <v>562</v>
      </c>
      <c r="W21" s="351">
        <f t="shared" si="19"/>
        <v>30</v>
      </c>
      <c r="X21" s="351">
        <f t="shared" si="19"/>
        <v>8</v>
      </c>
      <c r="Y21" s="351">
        <f t="shared" si="19"/>
        <v>9084</v>
      </c>
      <c r="AA21" s="345" t="s">
        <v>19</v>
      </c>
      <c r="AB21" s="351">
        <f>AB24+AB27+AB30+AB33+AB36+AB39</f>
        <v>65.300000000000011</v>
      </c>
      <c r="AC21" s="351">
        <f t="shared" si="20"/>
        <v>2903</v>
      </c>
      <c r="AD21" s="351">
        <f t="shared" si="20"/>
        <v>2734</v>
      </c>
      <c r="AE21" s="351">
        <f t="shared" si="20"/>
        <v>445</v>
      </c>
      <c r="AF21" s="351">
        <f t="shared" si="20"/>
        <v>7</v>
      </c>
      <c r="AG21" s="351">
        <f t="shared" si="20"/>
        <v>8</v>
      </c>
      <c r="AH21" s="351">
        <f t="shared" si="20"/>
        <v>2274</v>
      </c>
      <c r="AJ21" s="345" t="s">
        <v>19</v>
      </c>
      <c r="AK21" s="351">
        <f>AK24+AK27+AK30+AK33+AK36+AK39</f>
        <v>5.4</v>
      </c>
      <c r="AL21" s="351">
        <f t="shared" si="21"/>
        <v>16</v>
      </c>
      <c r="AM21" s="351">
        <f t="shared" si="21"/>
        <v>16</v>
      </c>
      <c r="AN21" s="351">
        <f t="shared" si="21"/>
        <v>0</v>
      </c>
      <c r="AO21" s="351">
        <f t="shared" si="21"/>
        <v>0</v>
      </c>
      <c r="AP21" s="351">
        <f t="shared" si="21"/>
        <v>0</v>
      </c>
      <c r="AQ21" s="351">
        <f t="shared" si="21"/>
        <v>16</v>
      </c>
    </row>
    <row r="22" spans="1:43" s="330" customFormat="1">
      <c r="A22" s="340" t="s">
        <v>20</v>
      </c>
      <c r="B22" s="342">
        <f>B21/B20*100</f>
        <v>132.38946845504219</v>
      </c>
      <c r="C22" s="342">
        <f t="shared" ref="C22:H22" si="22">C21/C20*100</f>
        <v>92.206265415735004</v>
      </c>
      <c r="D22" s="342">
        <f t="shared" si="22"/>
        <v>102.48791161295551</v>
      </c>
      <c r="E22" s="342">
        <f t="shared" si="22"/>
        <v>47.478349465104429</v>
      </c>
      <c r="F22" s="342">
        <f t="shared" si="22"/>
        <v>3.6681522111758658</v>
      </c>
      <c r="G22" s="342">
        <f t="shared" si="22"/>
        <v>4.3551088777219427</v>
      </c>
      <c r="H22" s="342">
        <f t="shared" si="22"/>
        <v>140.43137254901961</v>
      </c>
      <c r="I22" s="343"/>
      <c r="J22" s="344" t="s">
        <v>20</v>
      </c>
      <c r="K22" s="348">
        <f>K21/K20*100</f>
        <v>145.24772022186707</v>
      </c>
      <c r="L22" s="348">
        <f t="shared" ref="L22:Q22" si="23">L21/L20*100</f>
        <v>102.9388487310716</v>
      </c>
      <c r="M22" s="348">
        <f t="shared" si="23"/>
        <v>116.89048609797617</v>
      </c>
      <c r="N22" s="348">
        <f t="shared" si="23"/>
        <v>106.78210678210678</v>
      </c>
      <c r="O22" s="348">
        <f>O21/O20*100</f>
        <v>5.7164068299925761</v>
      </c>
      <c r="P22" s="348">
        <f t="shared" si="23"/>
        <v>5.61622464898596</v>
      </c>
      <c r="Q22" s="349">
        <f t="shared" si="23"/>
        <v>153.10380803338549</v>
      </c>
      <c r="R22" s="347" t="s">
        <v>20</v>
      </c>
      <c r="S22" s="348">
        <f>S21/S20*100</f>
        <v>118.15574482878498</v>
      </c>
      <c r="T22" s="348">
        <f t="shared" ref="T22:Y22" si="24">T21/T20*100</f>
        <v>83.748157851645658</v>
      </c>
      <c r="U22" s="353">
        <f t="shared" si="24"/>
        <v>91.539843085357788</v>
      </c>
      <c r="V22" s="348">
        <f t="shared" si="24"/>
        <v>34.766470770182494</v>
      </c>
      <c r="W22" s="348">
        <f t="shared" si="24"/>
        <v>1.910828025477707</v>
      </c>
      <c r="X22" s="348">
        <f t="shared" si="24"/>
        <v>2.8933092224231465</v>
      </c>
      <c r="Y22" s="348">
        <f t="shared" si="24"/>
        <v>129.78996999571368</v>
      </c>
      <c r="AA22" s="345" t="s">
        <v>20</v>
      </c>
      <c r="AB22" s="348">
        <f>AB21/AB20*100</f>
        <v>79.151515151515156</v>
      </c>
      <c r="AC22" s="348">
        <f t="shared" ref="AC22:AH22" si="25">AC21/AC20*100</f>
        <v>49.939790125580593</v>
      </c>
      <c r="AD22" s="348">
        <f t="shared" si="25"/>
        <v>55.467640495029414</v>
      </c>
      <c r="AE22" s="348">
        <f t="shared" si="25"/>
        <v>30.385797200409698</v>
      </c>
      <c r="AF22" s="348">
        <f t="shared" si="25"/>
        <v>2.880658436213992</v>
      </c>
      <c r="AG22" s="348">
        <f t="shared" si="25"/>
        <v>11.111111111111111</v>
      </c>
      <c r="AH22" s="348">
        <f t="shared" si="25"/>
        <v>73.213135866065684</v>
      </c>
      <c r="AJ22" s="345" t="s">
        <v>20</v>
      </c>
      <c r="AK22" s="348" t="e">
        <f>AK21/AK20*100</f>
        <v>#DIV/0!</v>
      </c>
      <c r="AL22" s="348" t="e">
        <f t="shared" ref="AL22:AQ22" si="26">AL21/AL20*100</f>
        <v>#DIV/0!</v>
      </c>
      <c r="AM22" s="348" t="e">
        <f t="shared" si="26"/>
        <v>#DIV/0!</v>
      </c>
      <c r="AN22" s="348" t="e">
        <f t="shared" si="26"/>
        <v>#DIV/0!</v>
      </c>
      <c r="AO22" s="348" t="e">
        <f t="shared" si="26"/>
        <v>#DIV/0!</v>
      </c>
      <c r="AP22" s="348" t="e">
        <f t="shared" si="26"/>
        <v>#DIV/0!</v>
      </c>
      <c r="AQ22" s="348" t="e">
        <f t="shared" si="26"/>
        <v>#DIV/0!</v>
      </c>
    </row>
    <row r="23" spans="1:43" s="330" customFormat="1">
      <c r="A23" s="331" t="s">
        <v>21</v>
      </c>
      <c r="B23" s="332">
        <f t="shared" ref="B23:H24" si="27">K23+S23+AK23</f>
        <v>201.26</v>
      </c>
      <c r="C23" s="331">
        <f t="shared" si="27"/>
        <v>11664</v>
      </c>
      <c r="D23" s="331">
        <f t="shared" si="27"/>
        <v>9809</v>
      </c>
      <c r="E23" s="331">
        <f t="shared" si="27"/>
        <v>1533</v>
      </c>
      <c r="F23" s="331">
        <f t="shared" si="27"/>
        <v>1230.5</v>
      </c>
      <c r="G23" s="331">
        <f t="shared" si="27"/>
        <v>289</v>
      </c>
      <c r="H23" s="331">
        <f t="shared" si="27"/>
        <v>6572.5</v>
      </c>
      <c r="I23" s="333"/>
      <c r="J23" s="334" t="s">
        <v>21</v>
      </c>
      <c r="K23" s="338">
        <v>134.45000000000002</v>
      </c>
      <c r="L23" s="339">
        <v>6801.5</v>
      </c>
      <c r="M23" s="339">
        <v>5682</v>
      </c>
      <c r="N23" s="339">
        <v>307</v>
      </c>
      <c r="O23" s="339">
        <v>949.5</v>
      </c>
      <c r="P23" s="339">
        <v>226</v>
      </c>
      <c r="Q23" s="339">
        <v>4060.5</v>
      </c>
      <c r="R23" s="337" t="s">
        <v>21</v>
      </c>
      <c r="S23" s="338">
        <v>66.809999999999988</v>
      </c>
      <c r="T23" s="339">
        <v>4862.5</v>
      </c>
      <c r="U23" s="339">
        <v>4127</v>
      </c>
      <c r="V23" s="339">
        <v>1226</v>
      </c>
      <c r="W23" s="339">
        <v>281</v>
      </c>
      <c r="X23" s="339">
        <v>63</v>
      </c>
      <c r="Y23" s="339">
        <v>2512</v>
      </c>
      <c r="Z23" s="284"/>
      <c r="AA23" s="331" t="s">
        <v>21</v>
      </c>
      <c r="AB23" s="338">
        <v>57.529999999999994</v>
      </c>
      <c r="AC23" s="339">
        <v>4353.5</v>
      </c>
      <c r="AD23" s="339">
        <v>3698.5</v>
      </c>
      <c r="AE23" s="339">
        <v>1178</v>
      </c>
      <c r="AF23" s="339">
        <v>175</v>
      </c>
      <c r="AG23" s="339">
        <v>51.5</v>
      </c>
      <c r="AH23" s="339">
        <v>2256.5</v>
      </c>
      <c r="AI23" s="284"/>
      <c r="AJ23" s="331" t="s">
        <v>21</v>
      </c>
      <c r="AK23" s="332"/>
      <c r="AL23" s="331"/>
      <c r="AM23" s="331"/>
      <c r="AN23" s="331"/>
      <c r="AO23" s="331"/>
      <c r="AP23" s="331"/>
      <c r="AQ23" s="331"/>
    </row>
    <row r="24" spans="1:43" s="330" customFormat="1">
      <c r="A24" s="340" t="s">
        <v>22</v>
      </c>
      <c r="B24" s="341">
        <f t="shared" si="27"/>
        <v>214.7</v>
      </c>
      <c r="C24" s="340">
        <f t="shared" si="27"/>
        <v>6666</v>
      </c>
      <c r="D24" s="340">
        <f t="shared" si="27"/>
        <v>6310</v>
      </c>
      <c r="E24" s="340">
        <f t="shared" si="27"/>
        <v>595</v>
      </c>
      <c r="F24" s="340">
        <f t="shared" si="27"/>
        <v>46</v>
      </c>
      <c r="G24" s="340">
        <f t="shared" si="27"/>
        <v>9</v>
      </c>
      <c r="H24" s="340">
        <f t="shared" si="27"/>
        <v>5660</v>
      </c>
      <c r="I24" s="333"/>
      <c r="J24" s="344" t="s">
        <v>22</v>
      </c>
      <c r="K24" s="345">
        <v>148</v>
      </c>
      <c r="L24" s="345">
        <v>3729</v>
      </c>
      <c r="M24" s="340">
        <f>SUM(N24:Q24)</f>
        <v>3527</v>
      </c>
      <c r="N24" s="345">
        <v>136</v>
      </c>
      <c r="O24" s="345">
        <v>30</v>
      </c>
      <c r="P24" s="345">
        <v>1</v>
      </c>
      <c r="Q24" s="346">
        <v>3360</v>
      </c>
      <c r="R24" s="347" t="s">
        <v>22</v>
      </c>
      <c r="S24" s="345">
        <v>66.7</v>
      </c>
      <c r="T24" s="345">
        <v>2937</v>
      </c>
      <c r="U24" s="340">
        <f>SUM(V24:Y24)</f>
        <v>2783</v>
      </c>
      <c r="V24" s="345">
        <v>459</v>
      </c>
      <c r="W24" s="345">
        <v>16</v>
      </c>
      <c r="X24" s="345">
        <v>8</v>
      </c>
      <c r="Y24" s="345">
        <v>2300</v>
      </c>
      <c r="AA24" s="345" t="s">
        <v>22</v>
      </c>
      <c r="AB24" s="345">
        <v>36.6</v>
      </c>
      <c r="AC24" s="345">
        <v>2186</v>
      </c>
      <c r="AD24" s="342">
        <f>AE24+AF24+AG24+AH24</f>
        <v>2063</v>
      </c>
      <c r="AE24" s="345">
        <v>419</v>
      </c>
      <c r="AF24" s="345">
        <v>6</v>
      </c>
      <c r="AG24" s="345">
        <v>8</v>
      </c>
      <c r="AH24" s="345">
        <v>1630</v>
      </c>
      <c r="AJ24" s="345" t="s">
        <v>22</v>
      </c>
      <c r="AK24" s="345"/>
      <c r="AL24" s="345"/>
      <c r="AM24" s="340"/>
      <c r="AN24" s="345"/>
      <c r="AO24" s="345"/>
      <c r="AP24" s="345"/>
      <c r="AQ24" s="345"/>
    </row>
    <row r="25" spans="1:43" s="330" customFormat="1">
      <c r="A25" s="340" t="s">
        <v>12</v>
      </c>
      <c r="B25" s="342">
        <f>B24/B23*100</f>
        <v>106.67792904700389</v>
      </c>
      <c r="C25" s="342">
        <f t="shared" ref="C25:H25" si="28">C24/C23*100</f>
        <v>57.150205761316876</v>
      </c>
      <c r="D25" s="342">
        <f t="shared" si="28"/>
        <v>64.328677744928129</v>
      </c>
      <c r="E25" s="342">
        <f t="shared" si="28"/>
        <v>38.81278538812785</v>
      </c>
      <c r="F25" s="342">
        <f t="shared" si="28"/>
        <v>3.7383177570093453</v>
      </c>
      <c r="G25" s="342">
        <f t="shared" si="28"/>
        <v>3.1141868512110724</v>
      </c>
      <c r="H25" s="342">
        <f t="shared" si="28"/>
        <v>86.116394066184867</v>
      </c>
      <c r="I25" s="343"/>
      <c r="J25" s="344" t="s">
        <v>12</v>
      </c>
      <c r="K25" s="348">
        <f>K24/K23*100</f>
        <v>110.07809594644849</v>
      </c>
      <c r="L25" s="348">
        <f t="shared" ref="L25:Q25" si="29">L24/L23*100</f>
        <v>54.826141292361974</v>
      </c>
      <c r="M25" s="348">
        <f t="shared" si="29"/>
        <v>62.073213657162974</v>
      </c>
      <c r="N25" s="348">
        <f t="shared" si="29"/>
        <v>44.299674267100976</v>
      </c>
      <c r="O25" s="348">
        <f t="shared" si="29"/>
        <v>3.1595576619273298</v>
      </c>
      <c r="P25" s="348">
        <f t="shared" si="29"/>
        <v>0.44247787610619471</v>
      </c>
      <c r="Q25" s="349">
        <f t="shared" si="29"/>
        <v>82.748429996305873</v>
      </c>
      <c r="R25" s="347" t="s">
        <v>12</v>
      </c>
      <c r="S25" s="348">
        <f>S24/S23*100</f>
        <v>99.835353988923842</v>
      </c>
      <c r="T25" s="348">
        <f t="shared" ref="T25:Y25" si="30">T24/T23*100</f>
        <v>60.401028277634964</v>
      </c>
      <c r="U25" s="348">
        <f t="shared" si="30"/>
        <v>67.433971407802275</v>
      </c>
      <c r="V25" s="348">
        <f t="shared" si="30"/>
        <v>37.438825448613379</v>
      </c>
      <c r="W25" s="348">
        <f t="shared" si="30"/>
        <v>5.6939501779359425</v>
      </c>
      <c r="X25" s="348">
        <f t="shared" si="30"/>
        <v>12.698412698412698</v>
      </c>
      <c r="Y25" s="348">
        <f t="shared" si="30"/>
        <v>91.560509554140125</v>
      </c>
      <c r="AA25" s="345" t="s">
        <v>12</v>
      </c>
      <c r="AB25" s="348">
        <f>AB24/AB23*100</f>
        <v>63.618981401008178</v>
      </c>
      <c r="AC25" s="348">
        <f t="shared" ref="AC25:AH25" si="31">AC24/AC23*100</f>
        <v>50.212472723096354</v>
      </c>
      <c r="AD25" s="348">
        <f t="shared" si="31"/>
        <v>55.779370014870885</v>
      </c>
      <c r="AE25" s="348">
        <f t="shared" si="31"/>
        <v>35.568760611205434</v>
      </c>
      <c r="AF25" s="348">
        <f t="shared" si="31"/>
        <v>3.4285714285714288</v>
      </c>
      <c r="AG25" s="348">
        <f t="shared" si="31"/>
        <v>15.53398058252427</v>
      </c>
      <c r="AH25" s="348">
        <f t="shared" si="31"/>
        <v>72.235763350321292</v>
      </c>
      <c r="AJ25" s="345" t="s">
        <v>12</v>
      </c>
      <c r="AK25" s="348" t="e">
        <f>AK24/AK23*100</f>
        <v>#DIV/0!</v>
      </c>
      <c r="AL25" s="348" t="e">
        <f t="shared" ref="AL25:AQ25" si="32">AL24/AL23*100</f>
        <v>#DIV/0!</v>
      </c>
      <c r="AM25" s="348" t="e">
        <f t="shared" si="32"/>
        <v>#DIV/0!</v>
      </c>
      <c r="AN25" s="348" t="e">
        <f t="shared" si="32"/>
        <v>#DIV/0!</v>
      </c>
      <c r="AO25" s="348" t="e">
        <f t="shared" si="32"/>
        <v>#DIV/0!</v>
      </c>
      <c r="AP25" s="348" t="e">
        <f t="shared" si="32"/>
        <v>#DIV/0!</v>
      </c>
      <c r="AQ25" s="348" t="e">
        <f t="shared" si="32"/>
        <v>#DIV/0!</v>
      </c>
    </row>
    <row r="26" spans="1:43" s="330" customFormat="1">
      <c r="A26" s="331" t="s">
        <v>23</v>
      </c>
      <c r="B26" s="332">
        <f t="shared" ref="B26:H27" si="33">K26+S26+AK26</f>
        <v>67.200000000000017</v>
      </c>
      <c r="C26" s="331">
        <f t="shared" si="33"/>
        <v>2332</v>
      </c>
      <c r="D26" s="331">
        <f t="shared" si="33"/>
        <v>2096.5</v>
      </c>
      <c r="E26" s="331">
        <f t="shared" si="33"/>
        <v>86.5</v>
      </c>
      <c r="F26" s="331">
        <f t="shared" si="33"/>
        <v>433</v>
      </c>
      <c r="G26" s="331">
        <f t="shared" si="33"/>
        <v>48.5</v>
      </c>
      <c r="H26" s="331">
        <f t="shared" si="33"/>
        <v>1505.5</v>
      </c>
      <c r="I26" s="333"/>
      <c r="J26" s="334" t="s">
        <v>23</v>
      </c>
      <c r="K26" s="338">
        <v>17.890000000000004</v>
      </c>
      <c r="L26" s="339">
        <v>518</v>
      </c>
      <c r="M26" s="339">
        <v>466</v>
      </c>
      <c r="N26" s="339">
        <v>11</v>
      </c>
      <c r="O26" s="339">
        <v>97.5</v>
      </c>
      <c r="P26" s="339">
        <v>12</v>
      </c>
      <c r="Q26" s="339">
        <v>341.5</v>
      </c>
      <c r="R26" s="337" t="s">
        <v>23</v>
      </c>
      <c r="S26" s="338">
        <v>49.310000000000009</v>
      </c>
      <c r="T26" s="339">
        <v>1814</v>
      </c>
      <c r="U26" s="339">
        <v>1630.5</v>
      </c>
      <c r="V26" s="339">
        <v>75.5</v>
      </c>
      <c r="W26" s="339">
        <v>335.5</v>
      </c>
      <c r="X26" s="339">
        <v>36.5</v>
      </c>
      <c r="Y26" s="339">
        <v>1164</v>
      </c>
      <c r="Z26" s="284"/>
      <c r="AA26" s="331" t="s">
        <v>23</v>
      </c>
      <c r="AB26" s="338">
        <v>5.21</v>
      </c>
      <c r="AC26" s="339">
        <v>276.5</v>
      </c>
      <c r="AD26" s="339">
        <v>237</v>
      </c>
      <c r="AE26" s="339">
        <v>71.5</v>
      </c>
      <c r="AF26" s="339">
        <v>15</v>
      </c>
      <c r="AG26" s="339">
        <v>1.5</v>
      </c>
      <c r="AH26" s="339">
        <v>149</v>
      </c>
      <c r="AI26" s="284"/>
      <c r="AJ26" s="331" t="s">
        <v>23</v>
      </c>
      <c r="AK26" s="331">
        <v>0</v>
      </c>
      <c r="AL26" s="331">
        <v>0</v>
      </c>
      <c r="AM26" s="331">
        <f>AN26+AO26+AP26+AQ26</f>
        <v>0</v>
      </c>
      <c r="AN26" s="331">
        <v>0</v>
      </c>
      <c r="AO26" s="331">
        <v>0</v>
      </c>
      <c r="AP26" s="331">
        <v>0</v>
      </c>
      <c r="AQ26" s="331">
        <v>0</v>
      </c>
    </row>
    <row r="27" spans="1:43" s="330" customFormat="1">
      <c r="A27" s="340" t="s">
        <v>24</v>
      </c>
      <c r="B27" s="341">
        <f t="shared" si="33"/>
        <v>88.6</v>
      </c>
      <c r="C27" s="340">
        <f t="shared" si="33"/>
        <v>1530</v>
      </c>
      <c r="D27" s="340">
        <f t="shared" si="33"/>
        <v>1474</v>
      </c>
      <c r="E27" s="340">
        <f t="shared" si="33"/>
        <v>84</v>
      </c>
      <c r="F27" s="340">
        <f t="shared" si="33"/>
        <v>16</v>
      </c>
      <c r="G27" s="340">
        <f t="shared" si="33"/>
        <v>0</v>
      </c>
      <c r="H27" s="340">
        <f t="shared" si="33"/>
        <v>1374</v>
      </c>
      <c r="I27" s="333"/>
      <c r="J27" s="344" t="s">
        <v>24</v>
      </c>
      <c r="K27" s="345">
        <v>27.8</v>
      </c>
      <c r="L27" s="345">
        <v>409</v>
      </c>
      <c r="M27" s="340">
        <f>SUM(N27:Q27)</f>
        <v>386</v>
      </c>
      <c r="N27" s="345">
        <v>33</v>
      </c>
      <c r="O27" s="345">
        <v>10</v>
      </c>
      <c r="P27" s="345">
        <v>0</v>
      </c>
      <c r="Q27" s="346">
        <v>343</v>
      </c>
      <c r="R27" s="347" t="s">
        <v>24</v>
      </c>
      <c r="S27" s="345">
        <v>60.8</v>
      </c>
      <c r="T27" s="345">
        <v>1121</v>
      </c>
      <c r="U27" s="340">
        <f>SUM(V27:Y27)</f>
        <v>1088</v>
      </c>
      <c r="V27" s="345">
        <v>51</v>
      </c>
      <c r="W27" s="345">
        <v>6</v>
      </c>
      <c r="X27" s="345">
        <v>0</v>
      </c>
      <c r="Y27" s="345">
        <v>1031</v>
      </c>
      <c r="AA27" s="345" t="s">
        <v>24</v>
      </c>
      <c r="AB27" s="345">
        <v>8.9</v>
      </c>
      <c r="AC27" s="345">
        <v>140</v>
      </c>
      <c r="AD27" s="340">
        <f>SUM(AE27:AH27)</f>
        <v>132</v>
      </c>
      <c r="AE27" s="345">
        <v>23</v>
      </c>
      <c r="AF27" s="345">
        <v>1</v>
      </c>
      <c r="AG27" s="345">
        <v>0</v>
      </c>
      <c r="AH27" s="345">
        <v>108</v>
      </c>
      <c r="AJ27" s="345" t="s">
        <v>24</v>
      </c>
      <c r="AK27" s="345"/>
      <c r="AL27" s="345"/>
      <c r="AM27" s="340"/>
      <c r="AN27" s="345"/>
      <c r="AO27" s="345"/>
      <c r="AP27" s="345"/>
      <c r="AQ27" s="345"/>
    </row>
    <row r="28" spans="1:43" s="330" customFormat="1">
      <c r="A28" s="340" t="s">
        <v>12</v>
      </c>
      <c r="B28" s="342">
        <f>B27/B26*100</f>
        <v>131.84523809523805</v>
      </c>
      <c r="C28" s="342">
        <f t="shared" ref="C28:H28" si="34">C27/C26*100</f>
        <v>65.608919382504283</v>
      </c>
      <c r="D28" s="342">
        <f>D27/D26*100</f>
        <v>70.307655616503695</v>
      </c>
      <c r="E28" s="342">
        <f t="shared" si="34"/>
        <v>97.109826589595372</v>
      </c>
      <c r="F28" s="342">
        <f t="shared" si="34"/>
        <v>3.695150115473441</v>
      </c>
      <c r="G28" s="342">
        <f t="shared" si="34"/>
        <v>0</v>
      </c>
      <c r="H28" s="342">
        <f t="shared" si="34"/>
        <v>91.265360345400211</v>
      </c>
      <c r="I28" s="343"/>
      <c r="J28" s="344" t="s">
        <v>12</v>
      </c>
      <c r="K28" s="348">
        <f>K27/K26*100</f>
        <v>155.39407490217997</v>
      </c>
      <c r="L28" s="348">
        <f t="shared" ref="L28:Q28" si="35">L27/L26*100</f>
        <v>78.95752895752895</v>
      </c>
      <c r="M28" s="348">
        <f t="shared" si="35"/>
        <v>82.832618025751074</v>
      </c>
      <c r="N28" s="348">
        <f>N27/N26*100</f>
        <v>300</v>
      </c>
      <c r="O28" s="348">
        <f t="shared" si="35"/>
        <v>10.256410256410255</v>
      </c>
      <c r="P28" s="348">
        <f t="shared" si="35"/>
        <v>0</v>
      </c>
      <c r="Q28" s="349">
        <f t="shared" si="35"/>
        <v>100.43923865300147</v>
      </c>
      <c r="R28" s="347" t="s">
        <v>12</v>
      </c>
      <c r="S28" s="348">
        <f>S27/S26*100</f>
        <v>123.30156154938143</v>
      </c>
      <c r="T28" s="348">
        <f t="shared" ref="T28:Y28" si="36">T27/T26*100</f>
        <v>61.797133406835727</v>
      </c>
      <c r="U28" s="348">
        <f t="shared" si="36"/>
        <v>66.727997546764797</v>
      </c>
      <c r="V28" s="348">
        <f t="shared" si="36"/>
        <v>67.549668874172184</v>
      </c>
      <c r="W28" s="348">
        <f t="shared" si="36"/>
        <v>1.7883755588673622</v>
      </c>
      <c r="X28" s="348">
        <f t="shared" si="36"/>
        <v>0</v>
      </c>
      <c r="Y28" s="348">
        <f t="shared" si="36"/>
        <v>88.573883161512029</v>
      </c>
      <c r="AA28" s="345" t="s">
        <v>12</v>
      </c>
      <c r="AB28" s="348">
        <f>AB27/AB26*100</f>
        <v>170.8253358925144</v>
      </c>
      <c r="AC28" s="348">
        <f t="shared" ref="AC28:AH28" si="37">AC27/AC26*100</f>
        <v>50.632911392405063</v>
      </c>
      <c r="AD28" s="348">
        <f t="shared" si="37"/>
        <v>55.696202531645568</v>
      </c>
      <c r="AE28" s="348">
        <f t="shared" si="37"/>
        <v>32.167832167832167</v>
      </c>
      <c r="AF28" s="348">
        <f t="shared" si="37"/>
        <v>6.666666666666667</v>
      </c>
      <c r="AG28" s="348">
        <f t="shared" si="37"/>
        <v>0</v>
      </c>
      <c r="AH28" s="348">
        <f t="shared" si="37"/>
        <v>72.483221476510067</v>
      </c>
      <c r="AJ28" s="345" t="s">
        <v>12</v>
      </c>
      <c r="AK28" s="348" t="e">
        <f>AK27/AK26*100</f>
        <v>#DIV/0!</v>
      </c>
      <c r="AL28" s="348" t="e">
        <f t="shared" ref="AL28:AQ28" si="38">AL27/AL26*100</f>
        <v>#DIV/0!</v>
      </c>
      <c r="AM28" s="348" t="e">
        <f t="shared" si="38"/>
        <v>#DIV/0!</v>
      </c>
      <c r="AN28" s="348" t="e">
        <f t="shared" si="38"/>
        <v>#DIV/0!</v>
      </c>
      <c r="AO28" s="348" t="e">
        <f t="shared" si="38"/>
        <v>#DIV/0!</v>
      </c>
      <c r="AP28" s="348" t="e">
        <f t="shared" si="38"/>
        <v>#DIV/0!</v>
      </c>
      <c r="AQ28" s="348" t="e">
        <f t="shared" si="38"/>
        <v>#DIV/0!</v>
      </c>
    </row>
    <row r="29" spans="1:43" s="330" customFormat="1">
      <c r="A29" s="331" t="s">
        <v>25</v>
      </c>
      <c r="B29" s="332">
        <f t="shared" ref="B29:H30" si="39">K29+S29+AK29</f>
        <v>64.47</v>
      </c>
      <c r="C29" s="331">
        <f t="shared" si="39"/>
        <v>2395</v>
      </c>
      <c r="D29" s="331">
        <f t="shared" si="39"/>
        <v>2143</v>
      </c>
      <c r="E29" s="331">
        <f t="shared" si="39"/>
        <v>94</v>
      </c>
      <c r="F29" s="331">
        <f t="shared" si="39"/>
        <v>447.5</v>
      </c>
      <c r="G29" s="331">
        <f t="shared" si="39"/>
        <v>14.5</v>
      </c>
      <c r="H29" s="331">
        <f t="shared" si="39"/>
        <v>1560</v>
      </c>
      <c r="I29" s="333"/>
      <c r="J29" s="334" t="s">
        <v>25</v>
      </c>
      <c r="K29" s="338">
        <v>8.7900000000000009</v>
      </c>
      <c r="L29" s="339">
        <v>239.5</v>
      </c>
      <c r="M29" s="339">
        <v>210.5</v>
      </c>
      <c r="N29" s="339">
        <v>2.5</v>
      </c>
      <c r="O29" s="339">
        <v>43</v>
      </c>
      <c r="P29" s="339">
        <v>5</v>
      </c>
      <c r="Q29" s="339">
        <v>156.5</v>
      </c>
      <c r="R29" s="337" t="s">
        <v>25</v>
      </c>
      <c r="S29" s="338">
        <v>55.679999999999993</v>
      </c>
      <c r="T29" s="339">
        <v>2155.5</v>
      </c>
      <c r="U29" s="339">
        <v>1932.5</v>
      </c>
      <c r="V29" s="339">
        <v>91.5</v>
      </c>
      <c r="W29" s="339">
        <v>404.5</v>
      </c>
      <c r="X29" s="339">
        <v>9.5</v>
      </c>
      <c r="Y29" s="339">
        <v>1403.5</v>
      </c>
      <c r="Z29" s="284"/>
      <c r="AA29" s="331" t="s">
        <v>25</v>
      </c>
      <c r="AB29" s="338">
        <v>1.48</v>
      </c>
      <c r="AC29" s="339">
        <v>76</v>
      </c>
      <c r="AD29" s="339">
        <v>64</v>
      </c>
      <c r="AE29" s="339">
        <v>21.5</v>
      </c>
      <c r="AF29" s="339">
        <v>2</v>
      </c>
      <c r="AG29" s="339">
        <v>0.5</v>
      </c>
      <c r="AH29" s="339">
        <v>39.5</v>
      </c>
      <c r="AI29" s="284"/>
      <c r="AJ29" s="331" t="s">
        <v>25</v>
      </c>
      <c r="AK29" s="331"/>
      <c r="AL29" s="331">
        <v>0</v>
      </c>
      <c r="AM29" s="331">
        <f>AN29+AO29+AP29+AQ29</f>
        <v>0</v>
      </c>
      <c r="AN29" s="331">
        <v>0</v>
      </c>
      <c r="AO29" s="331">
        <v>0</v>
      </c>
      <c r="AP29" s="331">
        <v>0</v>
      </c>
      <c r="AQ29" s="331">
        <v>0</v>
      </c>
    </row>
    <row r="30" spans="1:43" s="330" customFormat="1">
      <c r="A30" s="340" t="s">
        <v>26</v>
      </c>
      <c r="B30" s="341">
        <f t="shared" si="39"/>
        <v>88.500000000000014</v>
      </c>
      <c r="C30" s="340">
        <f t="shared" si="39"/>
        <v>3088</v>
      </c>
      <c r="D30" s="340">
        <f t="shared" si="39"/>
        <v>2961</v>
      </c>
      <c r="E30" s="340">
        <f t="shared" si="39"/>
        <v>0</v>
      </c>
      <c r="F30" s="340">
        <f t="shared" si="39"/>
        <v>0</v>
      </c>
      <c r="G30" s="340">
        <f t="shared" si="39"/>
        <v>0</v>
      </c>
      <c r="H30" s="340">
        <f t="shared" si="39"/>
        <v>2961</v>
      </c>
      <c r="I30" s="333"/>
      <c r="J30" s="344" t="s">
        <v>26</v>
      </c>
      <c r="K30" s="345">
        <v>25.6</v>
      </c>
      <c r="L30" s="345">
        <v>891</v>
      </c>
      <c r="M30" s="340">
        <f>SUM(N30:Q30)</f>
        <v>854</v>
      </c>
      <c r="N30" s="345">
        <v>0</v>
      </c>
      <c r="O30" s="345">
        <v>0</v>
      </c>
      <c r="P30" s="345">
        <v>0</v>
      </c>
      <c r="Q30" s="346">
        <v>854</v>
      </c>
      <c r="R30" s="347" t="s">
        <v>26</v>
      </c>
      <c r="S30" s="345">
        <v>60.2</v>
      </c>
      <c r="T30" s="345">
        <v>2196</v>
      </c>
      <c r="U30" s="340">
        <f>SUM(V30:Y30)</f>
        <v>2106</v>
      </c>
      <c r="V30" s="345">
        <v>0</v>
      </c>
      <c r="W30" s="345">
        <v>0</v>
      </c>
      <c r="X30" s="345">
        <v>0</v>
      </c>
      <c r="Y30" s="345">
        <v>2106</v>
      </c>
      <c r="AA30" s="345" t="s">
        <v>26</v>
      </c>
      <c r="AB30" s="345">
        <v>0.7</v>
      </c>
      <c r="AC30" s="345">
        <v>50</v>
      </c>
      <c r="AD30" s="340">
        <v>48</v>
      </c>
      <c r="AE30" s="345">
        <v>0</v>
      </c>
      <c r="AF30" s="345">
        <v>0</v>
      </c>
      <c r="AG30" s="345">
        <v>0</v>
      </c>
      <c r="AH30" s="345">
        <v>48</v>
      </c>
      <c r="AJ30" s="345" t="s">
        <v>26</v>
      </c>
      <c r="AK30" s="345">
        <v>2.7</v>
      </c>
      <c r="AL30" s="345">
        <v>1</v>
      </c>
      <c r="AM30" s="340">
        <v>1</v>
      </c>
      <c r="AN30" s="345">
        <v>0</v>
      </c>
      <c r="AO30" s="345">
        <v>0</v>
      </c>
      <c r="AP30" s="345">
        <v>0</v>
      </c>
      <c r="AQ30" s="345">
        <v>1</v>
      </c>
    </row>
    <row r="31" spans="1:43" s="330" customFormat="1">
      <c r="A31" s="340" t="s">
        <v>12</v>
      </c>
      <c r="B31" s="342">
        <f>B30/B29*100</f>
        <v>137.27315030246629</v>
      </c>
      <c r="C31" s="342">
        <f t="shared" ref="C31:H31" si="40">C30/C29*100</f>
        <v>128.93528183716074</v>
      </c>
      <c r="D31" s="342">
        <f t="shared" si="40"/>
        <v>138.1707886140924</v>
      </c>
      <c r="E31" s="342">
        <f t="shared" si="40"/>
        <v>0</v>
      </c>
      <c r="F31" s="342">
        <f t="shared" si="40"/>
        <v>0</v>
      </c>
      <c r="G31" s="342">
        <f t="shared" si="40"/>
        <v>0</v>
      </c>
      <c r="H31" s="342">
        <f t="shared" si="40"/>
        <v>189.80769230769229</v>
      </c>
      <c r="I31" s="343"/>
      <c r="J31" s="344" t="s">
        <v>12</v>
      </c>
      <c r="K31" s="348">
        <f>K30/K29*100</f>
        <v>291.2400455062571</v>
      </c>
      <c r="L31" s="348">
        <f t="shared" ref="L31:Q31" si="41">L30/L29*100</f>
        <v>372.02505219206682</v>
      </c>
      <c r="M31" s="348">
        <f t="shared" si="41"/>
        <v>405.70071258907365</v>
      </c>
      <c r="N31" s="348">
        <f t="shared" si="41"/>
        <v>0</v>
      </c>
      <c r="O31" s="348">
        <f t="shared" si="41"/>
        <v>0</v>
      </c>
      <c r="P31" s="348">
        <f t="shared" si="41"/>
        <v>0</v>
      </c>
      <c r="Q31" s="349">
        <f t="shared" si="41"/>
        <v>545.68690095846648</v>
      </c>
      <c r="R31" s="347" t="s">
        <v>12</v>
      </c>
      <c r="S31" s="348">
        <f>S30/S29*100</f>
        <v>108.11781609195404</v>
      </c>
      <c r="T31" s="348">
        <f t="shared" ref="T31:Y31" si="42">T30/T29*100</f>
        <v>101.87891440501045</v>
      </c>
      <c r="U31" s="348">
        <f t="shared" si="42"/>
        <v>108.97800776196635</v>
      </c>
      <c r="V31" s="348">
        <f t="shared" si="42"/>
        <v>0</v>
      </c>
      <c r="W31" s="348">
        <f t="shared" si="42"/>
        <v>0</v>
      </c>
      <c r="X31" s="348">
        <f t="shared" si="42"/>
        <v>0</v>
      </c>
      <c r="Y31" s="348">
        <f t="shared" si="42"/>
        <v>150.05343783398646</v>
      </c>
      <c r="AA31" s="345" t="s">
        <v>12</v>
      </c>
      <c r="AB31" s="348">
        <f>AB30/AB29*100</f>
        <v>47.297297297297298</v>
      </c>
      <c r="AC31" s="348">
        <f t="shared" ref="AC31:AH31" si="43">AC30/AC29*100</f>
        <v>65.789473684210535</v>
      </c>
      <c r="AD31" s="348">
        <f t="shared" si="43"/>
        <v>75</v>
      </c>
      <c r="AE31" s="348">
        <f t="shared" si="43"/>
        <v>0</v>
      </c>
      <c r="AF31" s="348">
        <f t="shared" si="43"/>
        <v>0</v>
      </c>
      <c r="AG31" s="348">
        <f t="shared" si="43"/>
        <v>0</v>
      </c>
      <c r="AH31" s="348">
        <f t="shared" si="43"/>
        <v>121.51898734177216</v>
      </c>
      <c r="AJ31" s="345" t="s">
        <v>12</v>
      </c>
      <c r="AK31" s="348" t="e">
        <f>AK30/AK29*100</f>
        <v>#DIV/0!</v>
      </c>
      <c r="AL31" s="348" t="e">
        <f t="shared" ref="AL31:AQ31" si="44">AL30/AL29*100</f>
        <v>#DIV/0!</v>
      </c>
      <c r="AM31" s="348" t="e">
        <f t="shared" si="44"/>
        <v>#DIV/0!</v>
      </c>
      <c r="AN31" s="348" t="e">
        <f t="shared" si="44"/>
        <v>#DIV/0!</v>
      </c>
      <c r="AO31" s="348" t="e">
        <f t="shared" si="44"/>
        <v>#DIV/0!</v>
      </c>
      <c r="AP31" s="348" t="e">
        <f t="shared" si="44"/>
        <v>#DIV/0!</v>
      </c>
      <c r="AQ31" s="348" t="e">
        <f t="shared" si="44"/>
        <v>#DIV/0!</v>
      </c>
    </row>
    <row r="32" spans="1:43" s="330" customFormat="1">
      <c r="A32" s="331" t="s">
        <v>27</v>
      </c>
      <c r="B32" s="332">
        <f t="shared" ref="B32:H33" si="45">K32+S32+AK32</f>
        <v>2.61</v>
      </c>
      <c r="C32" s="331">
        <f t="shared" si="45"/>
        <v>179</v>
      </c>
      <c r="D32" s="331">
        <f t="shared" si="45"/>
        <v>156.5</v>
      </c>
      <c r="E32" s="331">
        <f t="shared" si="45"/>
        <v>59.5</v>
      </c>
      <c r="F32" s="331">
        <f t="shared" si="45"/>
        <v>19</v>
      </c>
      <c r="G32" s="331">
        <f t="shared" si="45"/>
        <v>6</v>
      </c>
      <c r="H32" s="331">
        <f t="shared" si="45"/>
        <v>70.5</v>
      </c>
      <c r="I32" s="333"/>
      <c r="J32" s="334" t="s">
        <v>27</v>
      </c>
      <c r="K32" s="338">
        <v>1.42</v>
      </c>
      <c r="L32" s="339">
        <v>53.5</v>
      </c>
      <c r="M32" s="339">
        <v>46.5</v>
      </c>
      <c r="N32" s="339">
        <v>15.5</v>
      </c>
      <c r="O32" s="339">
        <v>3</v>
      </c>
      <c r="P32" s="339">
        <v>0</v>
      </c>
      <c r="Q32" s="339">
        <v>28</v>
      </c>
      <c r="R32" s="337" t="s">
        <v>27</v>
      </c>
      <c r="S32" s="338">
        <v>1.19</v>
      </c>
      <c r="T32" s="339">
        <v>125.5</v>
      </c>
      <c r="U32" s="339">
        <v>110</v>
      </c>
      <c r="V32" s="339">
        <v>44</v>
      </c>
      <c r="W32" s="339">
        <v>16</v>
      </c>
      <c r="X32" s="339">
        <v>6</v>
      </c>
      <c r="Y32" s="339">
        <v>42.5</v>
      </c>
      <c r="Z32" s="284" t="s">
        <v>64</v>
      </c>
      <c r="AA32" s="331" t="s">
        <v>27</v>
      </c>
      <c r="AB32" s="338">
        <v>0.94000000000000006</v>
      </c>
      <c r="AC32" s="339">
        <v>113.5</v>
      </c>
      <c r="AD32" s="339">
        <v>99.5</v>
      </c>
      <c r="AE32" s="339">
        <v>40</v>
      </c>
      <c r="AF32" s="339">
        <v>14.5</v>
      </c>
      <c r="AG32" s="339">
        <v>5.5</v>
      </c>
      <c r="AH32" s="339">
        <v>38</v>
      </c>
      <c r="AI32" s="284"/>
      <c r="AJ32" s="331" t="s">
        <v>27</v>
      </c>
      <c r="AK32" s="331">
        <v>0</v>
      </c>
      <c r="AL32" s="331"/>
      <c r="AM32" s="331">
        <f>AN32+AO32+AP32+AQ32</f>
        <v>0</v>
      </c>
      <c r="AN32" s="331"/>
      <c r="AO32" s="331"/>
      <c r="AP32" s="331"/>
      <c r="AQ32" s="331"/>
    </row>
    <row r="33" spans="1:43" s="330" customFormat="1">
      <c r="A33" s="340" t="s">
        <v>28</v>
      </c>
      <c r="B33" s="341">
        <f t="shared" si="45"/>
        <v>0</v>
      </c>
      <c r="C33" s="340">
        <f t="shared" si="45"/>
        <v>4</v>
      </c>
      <c r="D33" s="340">
        <f t="shared" si="45"/>
        <v>4</v>
      </c>
      <c r="E33" s="340">
        <f t="shared" si="45"/>
        <v>0</v>
      </c>
      <c r="F33" s="340">
        <f t="shared" si="45"/>
        <v>0</v>
      </c>
      <c r="G33" s="340">
        <f t="shared" si="45"/>
        <v>0</v>
      </c>
      <c r="H33" s="340">
        <f t="shared" si="45"/>
        <v>4</v>
      </c>
      <c r="I33" s="333"/>
      <c r="J33" s="344" t="s">
        <v>28</v>
      </c>
      <c r="K33" s="345">
        <v>0</v>
      </c>
      <c r="L33" s="345">
        <v>4</v>
      </c>
      <c r="M33" s="340">
        <f>SUM(N33:Q33)</f>
        <v>4</v>
      </c>
      <c r="N33" s="345">
        <v>0</v>
      </c>
      <c r="O33" s="345">
        <v>0</v>
      </c>
      <c r="P33" s="345">
        <v>0</v>
      </c>
      <c r="Q33" s="346">
        <v>4</v>
      </c>
      <c r="R33" s="347" t="s">
        <v>28</v>
      </c>
      <c r="S33" s="345"/>
      <c r="T33" s="345"/>
      <c r="U33" s="340"/>
      <c r="V33" s="345"/>
      <c r="W33" s="345"/>
      <c r="X33" s="345"/>
      <c r="Y33" s="345"/>
      <c r="AA33" s="345" t="s">
        <v>28</v>
      </c>
      <c r="AB33" s="345"/>
      <c r="AC33" s="345"/>
      <c r="AD33" s="340"/>
      <c r="AE33" s="345"/>
      <c r="AF33" s="345"/>
      <c r="AG33" s="345"/>
      <c r="AH33" s="345"/>
      <c r="AJ33" s="345" t="s">
        <v>28</v>
      </c>
      <c r="AK33" s="345"/>
      <c r="AL33" s="345"/>
      <c r="AM33" s="340"/>
      <c r="AN33" s="345"/>
      <c r="AO33" s="345"/>
      <c r="AP33" s="345"/>
      <c r="AQ33" s="345"/>
    </row>
    <row r="34" spans="1:43" s="330" customFormat="1">
      <c r="A34" s="340" t="s">
        <v>12</v>
      </c>
      <c r="B34" s="342">
        <f t="shared" ref="B34:H34" si="46">B33/B32*100</f>
        <v>0</v>
      </c>
      <c r="C34" s="342">
        <f t="shared" si="46"/>
        <v>2.2346368715083798</v>
      </c>
      <c r="D34" s="342">
        <f t="shared" si="46"/>
        <v>2.5559105431309903</v>
      </c>
      <c r="E34" s="342">
        <f t="shared" si="46"/>
        <v>0</v>
      </c>
      <c r="F34" s="342">
        <f t="shared" si="46"/>
        <v>0</v>
      </c>
      <c r="G34" s="342">
        <f t="shared" si="46"/>
        <v>0</v>
      </c>
      <c r="H34" s="342">
        <f t="shared" si="46"/>
        <v>5.6737588652482271</v>
      </c>
      <c r="I34" s="343"/>
      <c r="J34" s="344" t="s">
        <v>12</v>
      </c>
      <c r="K34" s="348">
        <f>K33/K32*100</f>
        <v>0</v>
      </c>
      <c r="L34" s="348">
        <f t="shared" ref="L34:Q34" si="47">L33/L32*100</f>
        <v>7.4766355140186906</v>
      </c>
      <c r="M34" s="348">
        <f t="shared" si="47"/>
        <v>8.6021505376344098</v>
      </c>
      <c r="N34" s="348">
        <f t="shared" si="47"/>
        <v>0</v>
      </c>
      <c r="O34" s="348">
        <f t="shared" si="47"/>
        <v>0</v>
      </c>
      <c r="P34" s="348" t="e">
        <f t="shared" si="47"/>
        <v>#DIV/0!</v>
      </c>
      <c r="Q34" s="349">
        <f t="shared" si="47"/>
        <v>14.285714285714285</v>
      </c>
      <c r="R34" s="347" t="s">
        <v>12</v>
      </c>
      <c r="S34" s="348">
        <f>S33/S32*100</f>
        <v>0</v>
      </c>
      <c r="T34" s="348">
        <f t="shared" ref="T34:Y34" si="48">T33/T32*100</f>
        <v>0</v>
      </c>
      <c r="U34" s="348">
        <f t="shared" si="48"/>
        <v>0</v>
      </c>
      <c r="V34" s="348">
        <f t="shared" si="48"/>
        <v>0</v>
      </c>
      <c r="W34" s="348">
        <f t="shared" si="48"/>
        <v>0</v>
      </c>
      <c r="X34" s="348">
        <f t="shared" si="48"/>
        <v>0</v>
      </c>
      <c r="Y34" s="348">
        <f t="shared" si="48"/>
        <v>0</v>
      </c>
      <c r="AA34" s="345" t="s">
        <v>12</v>
      </c>
      <c r="AB34" s="348">
        <f>AB33/AB32*100</f>
        <v>0</v>
      </c>
      <c r="AC34" s="348">
        <f t="shared" ref="AC34:AH34" si="49">AC33/AC32*100</f>
        <v>0</v>
      </c>
      <c r="AD34" s="348">
        <f t="shared" si="49"/>
        <v>0</v>
      </c>
      <c r="AE34" s="348">
        <f t="shared" si="49"/>
        <v>0</v>
      </c>
      <c r="AF34" s="348">
        <f t="shared" si="49"/>
        <v>0</v>
      </c>
      <c r="AG34" s="348">
        <f t="shared" si="49"/>
        <v>0</v>
      </c>
      <c r="AH34" s="348">
        <f t="shared" si="49"/>
        <v>0</v>
      </c>
      <c r="AJ34" s="345" t="s">
        <v>12</v>
      </c>
      <c r="AK34" s="348" t="e">
        <f>AK33/AK32*100</f>
        <v>#DIV/0!</v>
      </c>
      <c r="AL34" s="348" t="e">
        <f t="shared" ref="AL34:AQ34" si="50">AL33/AL32*100</f>
        <v>#DIV/0!</v>
      </c>
      <c r="AM34" s="348" t="e">
        <f t="shared" si="50"/>
        <v>#DIV/0!</v>
      </c>
      <c r="AN34" s="348" t="e">
        <f t="shared" si="50"/>
        <v>#DIV/0!</v>
      </c>
      <c r="AO34" s="348" t="e">
        <f t="shared" si="50"/>
        <v>#DIV/0!</v>
      </c>
      <c r="AP34" s="348" t="e">
        <f t="shared" si="50"/>
        <v>#DIV/0!</v>
      </c>
      <c r="AQ34" s="348" t="e">
        <f t="shared" si="50"/>
        <v>#DIV/0!</v>
      </c>
    </row>
    <row r="35" spans="1:43" s="330" customFormat="1">
      <c r="A35" s="331" t="s">
        <v>29</v>
      </c>
      <c r="B35" s="332">
        <f t="shared" ref="B35:H36" si="51">K35+S35+AK35</f>
        <v>21.549999999999997</v>
      </c>
      <c r="C35" s="331">
        <f t="shared" si="51"/>
        <v>1534.5</v>
      </c>
      <c r="D35" s="331">
        <f t="shared" si="51"/>
        <v>1358.5</v>
      </c>
      <c r="E35" s="331">
        <f t="shared" si="51"/>
        <v>0</v>
      </c>
      <c r="F35" s="331">
        <f t="shared" si="51"/>
        <v>384.5</v>
      </c>
      <c r="G35" s="331">
        <f t="shared" si="51"/>
        <v>115</v>
      </c>
      <c r="H35" s="331">
        <f t="shared" si="51"/>
        <v>844</v>
      </c>
      <c r="I35" s="333"/>
      <c r="J35" s="334" t="s">
        <v>29</v>
      </c>
      <c r="K35" s="338">
        <v>0.26999999999999996</v>
      </c>
      <c r="L35" s="339">
        <v>6</v>
      </c>
      <c r="M35" s="339">
        <v>4</v>
      </c>
      <c r="N35" s="339">
        <v>0</v>
      </c>
      <c r="O35" s="339">
        <v>0</v>
      </c>
      <c r="P35" s="339">
        <v>0</v>
      </c>
      <c r="Q35" s="339">
        <v>4</v>
      </c>
      <c r="R35" s="337" t="s">
        <v>29</v>
      </c>
      <c r="S35" s="338">
        <v>21.279999999999998</v>
      </c>
      <c r="T35" s="339">
        <v>1528.5</v>
      </c>
      <c r="U35" s="339">
        <v>1354.5</v>
      </c>
      <c r="V35" s="339">
        <v>0</v>
      </c>
      <c r="W35" s="339">
        <v>384.5</v>
      </c>
      <c r="X35" s="339">
        <v>115</v>
      </c>
      <c r="Y35" s="339">
        <v>840</v>
      </c>
      <c r="Z35" s="284"/>
      <c r="AA35" s="331" t="s">
        <v>29</v>
      </c>
      <c r="AB35" s="338">
        <v>0.04</v>
      </c>
      <c r="AC35" s="339">
        <v>1</v>
      </c>
      <c r="AD35" s="339">
        <v>1</v>
      </c>
      <c r="AE35" s="339">
        <v>0</v>
      </c>
      <c r="AF35" s="339">
        <v>0.5</v>
      </c>
      <c r="AG35" s="339">
        <v>0</v>
      </c>
      <c r="AH35" s="339">
        <v>0.5</v>
      </c>
      <c r="AI35" s="284"/>
      <c r="AJ35" s="331" t="s">
        <v>29</v>
      </c>
      <c r="AK35" s="331">
        <v>0</v>
      </c>
      <c r="AL35" s="331">
        <v>0</v>
      </c>
      <c r="AM35" s="331">
        <f>AN35+AO35+AP35+AQ35</f>
        <v>0</v>
      </c>
      <c r="AN35" s="331">
        <v>0</v>
      </c>
      <c r="AO35" s="331">
        <v>0</v>
      </c>
      <c r="AP35" s="331">
        <v>0</v>
      </c>
      <c r="AQ35" s="331">
        <v>0</v>
      </c>
    </row>
    <row r="36" spans="1:43" s="330" customFormat="1">
      <c r="A36" s="340" t="s">
        <v>30</v>
      </c>
      <c r="B36" s="341">
        <f t="shared" si="51"/>
        <v>38.6</v>
      </c>
      <c r="C36" s="340">
        <f t="shared" si="51"/>
        <v>2697</v>
      </c>
      <c r="D36" s="340">
        <f t="shared" si="51"/>
        <v>2543</v>
      </c>
      <c r="E36" s="340">
        <f t="shared" si="51"/>
        <v>18</v>
      </c>
      <c r="F36" s="340">
        <f t="shared" si="51"/>
        <v>6</v>
      </c>
      <c r="G36" s="340">
        <f t="shared" si="51"/>
        <v>0</v>
      </c>
      <c r="H36" s="340">
        <f t="shared" si="51"/>
        <v>2519</v>
      </c>
      <c r="I36" s="333"/>
      <c r="J36" s="344" t="s">
        <v>30</v>
      </c>
      <c r="K36" s="345">
        <v>0.2</v>
      </c>
      <c r="L36" s="345">
        <v>208</v>
      </c>
      <c r="M36" s="340">
        <f>SUM(N36:Q36)</f>
        <v>202</v>
      </c>
      <c r="N36" s="345">
        <v>3</v>
      </c>
      <c r="O36" s="345">
        <v>0</v>
      </c>
      <c r="P36" s="345">
        <v>0</v>
      </c>
      <c r="Q36" s="346">
        <v>199</v>
      </c>
      <c r="R36" s="347" t="s">
        <v>30</v>
      </c>
      <c r="S36" s="345">
        <v>37.799999999999997</v>
      </c>
      <c r="T36" s="345">
        <v>2483</v>
      </c>
      <c r="U36" s="340">
        <f>SUM(V36:Y36)</f>
        <v>2335</v>
      </c>
      <c r="V36" s="345">
        <v>15</v>
      </c>
      <c r="W36" s="345">
        <v>6</v>
      </c>
      <c r="X36" s="345">
        <v>0</v>
      </c>
      <c r="Y36" s="345">
        <v>2314</v>
      </c>
      <c r="AA36" s="345" t="s">
        <v>30</v>
      </c>
      <c r="AB36" s="345">
        <v>0</v>
      </c>
      <c r="AC36" s="345">
        <v>32</v>
      </c>
      <c r="AD36" s="340">
        <v>32</v>
      </c>
      <c r="AE36" s="345">
        <v>2</v>
      </c>
      <c r="AF36" s="345">
        <v>0</v>
      </c>
      <c r="AG36" s="345">
        <v>0</v>
      </c>
      <c r="AH36" s="345">
        <v>30</v>
      </c>
      <c r="AJ36" s="345" t="s">
        <v>30</v>
      </c>
      <c r="AK36" s="345">
        <v>0.6</v>
      </c>
      <c r="AL36" s="345">
        <v>6</v>
      </c>
      <c r="AM36" s="340">
        <v>6</v>
      </c>
      <c r="AN36" s="345">
        <v>0</v>
      </c>
      <c r="AO36" s="345">
        <v>0</v>
      </c>
      <c r="AP36" s="345">
        <v>0</v>
      </c>
      <c r="AQ36" s="345">
        <v>6</v>
      </c>
    </row>
    <row r="37" spans="1:43" s="330" customFormat="1">
      <c r="A37" s="340" t="s">
        <v>12</v>
      </c>
      <c r="B37" s="342">
        <f>B36/B35*100</f>
        <v>179.11832946635732</v>
      </c>
      <c r="C37" s="342">
        <f t="shared" ref="C37:H37" si="52">C36/C35*100</f>
        <v>175.75757575757575</v>
      </c>
      <c r="D37" s="342">
        <f t="shared" si="52"/>
        <v>187.19175561280827</v>
      </c>
      <c r="E37" s="342" t="e">
        <f t="shared" si="52"/>
        <v>#DIV/0!</v>
      </c>
      <c r="F37" s="342">
        <f t="shared" si="52"/>
        <v>1.5604681404421328</v>
      </c>
      <c r="G37" s="342">
        <f t="shared" si="52"/>
        <v>0</v>
      </c>
      <c r="H37" s="342">
        <f t="shared" si="52"/>
        <v>298.45971563981044</v>
      </c>
      <c r="I37" s="343"/>
      <c r="J37" s="344" t="s">
        <v>12</v>
      </c>
      <c r="K37" s="348">
        <f>K36/K35*100</f>
        <v>74.07407407407409</v>
      </c>
      <c r="L37" s="348">
        <f t="shared" ref="L37:Q37" si="53">L36/L35*100</f>
        <v>3466.6666666666665</v>
      </c>
      <c r="M37" s="348">
        <f t="shared" si="53"/>
        <v>5050</v>
      </c>
      <c r="N37" s="348" t="e">
        <f t="shared" si="53"/>
        <v>#DIV/0!</v>
      </c>
      <c r="O37" s="348" t="e">
        <f t="shared" si="53"/>
        <v>#DIV/0!</v>
      </c>
      <c r="P37" s="348" t="e">
        <f t="shared" si="53"/>
        <v>#DIV/0!</v>
      </c>
      <c r="Q37" s="349">
        <f t="shared" si="53"/>
        <v>4975</v>
      </c>
      <c r="R37" s="347" t="s">
        <v>12</v>
      </c>
      <c r="S37" s="348">
        <f>S36/S35*100</f>
        <v>177.63157894736844</v>
      </c>
      <c r="T37" s="348">
        <f t="shared" ref="T37:Y37" si="54">T36/T35*100</f>
        <v>162.44684331043507</v>
      </c>
      <c r="U37" s="348">
        <f t="shared" si="54"/>
        <v>172.38833517903285</v>
      </c>
      <c r="V37" s="348" t="e">
        <f t="shared" si="54"/>
        <v>#DIV/0!</v>
      </c>
      <c r="W37" s="348">
        <f t="shared" si="54"/>
        <v>1.5604681404421328</v>
      </c>
      <c r="X37" s="348">
        <f t="shared" si="54"/>
        <v>0</v>
      </c>
      <c r="Y37" s="348">
        <f t="shared" si="54"/>
        <v>275.47619047619048</v>
      </c>
      <c r="AA37" s="345" t="s">
        <v>12</v>
      </c>
      <c r="AB37" s="348">
        <f>AB36/AB35*100</f>
        <v>0</v>
      </c>
      <c r="AC37" s="348">
        <f t="shared" ref="AC37:AH37" si="55">AC36/AC35*100</f>
        <v>3200</v>
      </c>
      <c r="AD37" s="348">
        <f t="shared" si="55"/>
        <v>3200</v>
      </c>
      <c r="AE37" s="348" t="e">
        <f t="shared" si="55"/>
        <v>#DIV/0!</v>
      </c>
      <c r="AF37" s="348">
        <f t="shared" si="55"/>
        <v>0</v>
      </c>
      <c r="AG37" s="348" t="e">
        <f t="shared" si="55"/>
        <v>#DIV/0!</v>
      </c>
      <c r="AH37" s="348">
        <f t="shared" si="55"/>
        <v>6000</v>
      </c>
      <c r="AJ37" s="345" t="s">
        <v>12</v>
      </c>
      <c r="AK37" s="348" t="e">
        <f>AK36/AK35*100</f>
        <v>#DIV/0!</v>
      </c>
      <c r="AL37" s="348" t="e">
        <f t="shared" ref="AL37:AQ37" si="56">AL36/AL35*100</f>
        <v>#DIV/0!</v>
      </c>
      <c r="AM37" s="348" t="e">
        <f t="shared" si="56"/>
        <v>#DIV/0!</v>
      </c>
      <c r="AN37" s="348" t="e">
        <f t="shared" si="56"/>
        <v>#DIV/0!</v>
      </c>
      <c r="AO37" s="348" t="e">
        <f t="shared" si="56"/>
        <v>#DIV/0!</v>
      </c>
      <c r="AP37" s="348" t="e">
        <f t="shared" si="56"/>
        <v>#DIV/0!</v>
      </c>
      <c r="AQ37" s="348" t="e">
        <f t="shared" si="56"/>
        <v>#DIV/0!</v>
      </c>
    </row>
    <row r="38" spans="1:43" s="330" customFormat="1">
      <c r="A38" s="331" t="s">
        <v>31</v>
      </c>
      <c r="B38" s="332">
        <f t="shared" ref="B38:H39" si="57">K38+S38+AK38</f>
        <v>85.77000000000001</v>
      </c>
      <c r="C38" s="331">
        <f t="shared" si="57"/>
        <v>3586</v>
      </c>
      <c r="D38" s="331">
        <f t="shared" si="57"/>
        <v>2946</v>
      </c>
      <c r="E38" s="331">
        <f t="shared" si="57"/>
        <v>190</v>
      </c>
      <c r="F38" s="331">
        <f t="shared" si="57"/>
        <v>402.5</v>
      </c>
      <c r="G38" s="331">
        <f t="shared" si="57"/>
        <v>124</v>
      </c>
      <c r="H38" s="331">
        <f t="shared" si="57"/>
        <v>2197.5</v>
      </c>
      <c r="I38" s="333"/>
      <c r="J38" s="334" t="s">
        <v>31</v>
      </c>
      <c r="K38" s="338">
        <v>49.92</v>
      </c>
      <c r="L38" s="339">
        <v>1858</v>
      </c>
      <c r="M38" s="339">
        <v>1521.5</v>
      </c>
      <c r="N38" s="339">
        <v>10.5</v>
      </c>
      <c r="O38" s="339">
        <v>254</v>
      </c>
      <c r="P38" s="339">
        <v>77.5</v>
      </c>
      <c r="Q38" s="339">
        <v>1160.5</v>
      </c>
      <c r="R38" s="337" t="s">
        <v>31</v>
      </c>
      <c r="S38" s="338">
        <v>35.850000000000009</v>
      </c>
      <c r="T38" s="339">
        <v>1728</v>
      </c>
      <c r="U38" s="339">
        <v>1424.5</v>
      </c>
      <c r="V38" s="339">
        <v>179.5</v>
      </c>
      <c r="W38" s="339">
        <v>148.5</v>
      </c>
      <c r="X38" s="339">
        <v>46.5</v>
      </c>
      <c r="Y38" s="339">
        <v>1037</v>
      </c>
      <c r="Z38" s="284"/>
      <c r="AA38" s="331" t="s">
        <v>31</v>
      </c>
      <c r="AB38" s="338">
        <v>17.299999999999997</v>
      </c>
      <c r="AC38" s="339">
        <v>992.5</v>
      </c>
      <c r="AD38" s="339">
        <v>829</v>
      </c>
      <c r="AE38" s="339">
        <v>153.5</v>
      </c>
      <c r="AF38" s="339">
        <v>36</v>
      </c>
      <c r="AG38" s="339">
        <v>13</v>
      </c>
      <c r="AH38" s="339">
        <v>622.5</v>
      </c>
      <c r="AI38" s="284"/>
      <c r="AJ38" s="331" t="s">
        <v>31</v>
      </c>
      <c r="AK38" s="331">
        <v>0</v>
      </c>
      <c r="AL38" s="331">
        <v>0</v>
      </c>
      <c r="AM38" s="331">
        <f>AN38+AO38+AP38+AQ38</f>
        <v>0</v>
      </c>
      <c r="AN38" s="331">
        <v>0</v>
      </c>
      <c r="AO38" s="331">
        <v>0</v>
      </c>
      <c r="AP38" s="331">
        <v>0</v>
      </c>
      <c r="AQ38" s="331">
        <v>0</v>
      </c>
    </row>
    <row r="39" spans="1:43" s="330" customFormat="1">
      <c r="A39" s="354" t="s">
        <v>32</v>
      </c>
      <c r="B39" s="355">
        <f t="shared" si="57"/>
        <v>155.9</v>
      </c>
      <c r="C39" s="354">
        <f t="shared" si="57"/>
        <v>6015</v>
      </c>
      <c r="D39" s="354">
        <f t="shared" si="57"/>
        <v>5678</v>
      </c>
      <c r="E39" s="354">
        <f t="shared" si="57"/>
        <v>235</v>
      </c>
      <c r="F39" s="354">
        <f t="shared" si="57"/>
        <v>39</v>
      </c>
      <c r="G39" s="354">
        <f t="shared" si="57"/>
        <v>17</v>
      </c>
      <c r="H39" s="354">
        <f t="shared" si="57"/>
        <v>5387</v>
      </c>
      <c r="I39" s="333"/>
      <c r="J39" s="356" t="s">
        <v>32</v>
      </c>
      <c r="K39" s="357">
        <v>107.4</v>
      </c>
      <c r="L39" s="357">
        <v>4514</v>
      </c>
      <c r="M39" s="354">
        <f>SUM(N39:Q39)</f>
        <v>4297</v>
      </c>
      <c r="N39" s="357">
        <v>198</v>
      </c>
      <c r="O39" s="357">
        <v>37</v>
      </c>
      <c r="P39" s="357">
        <v>17</v>
      </c>
      <c r="Q39" s="358">
        <v>4045</v>
      </c>
      <c r="R39" s="359" t="s">
        <v>32</v>
      </c>
      <c r="S39" s="357">
        <v>46.4</v>
      </c>
      <c r="T39" s="357">
        <v>1492</v>
      </c>
      <c r="U39" s="354">
        <f>SUM(V39:Y39)</f>
        <v>1372</v>
      </c>
      <c r="V39" s="357">
        <v>37</v>
      </c>
      <c r="W39" s="357">
        <v>2</v>
      </c>
      <c r="X39" s="357">
        <v>0</v>
      </c>
      <c r="Y39" s="357">
        <v>1333</v>
      </c>
      <c r="AA39" s="357" t="s">
        <v>32</v>
      </c>
      <c r="AB39" s="357">
        <v>19.100000000000001</v>
      </c>
      <c r="AC39" s="357">
        <v>495</v>
      </c>
      <c r="AD39" s="354">
        <v>459</v>
      </c>
      <c r="AE39" s="357">
        <v>1</v>
      </c>
      <c r="AF39" s="357">
        <v>0</v>
      </c>
      <c r="AG39" s="357">
        <v>0</v>
      </c>
      <c r="AH39" s="357">
        <v>458</v>
      </c>
      <c r="AJ39" s="357" t="s">
        <v>32</v>
      </c>
      <c r="AK39" s="357">
        <v>2.1</v>
      </c>
      <c r="AL39" s="357">
        <v>9</v>
      </c>
      <c r="AM39" s="354">
        <v>9</v>
      </c>
      <c r="AN39" s="357">
        <v>0</v>
      </c>
      <c r="AO39" s="357">
        <v>0</v>
      </c>
      <c r="AP39" s="357">
        <v>0</v>
      </c>
      <c r="AQ39" s="357">
        <v>9</v>
      </c>
    </row>
    <row r="40" spans="1:43" s="330" customFormat="1">
      <c r="A40" s="292" t="s">
        <v>12</v>
      </c>
      <c r="B40" s="301">
        <f>B39/B38*100</f>
        <v>181.76518596245771</v>
      </c>
      <c r="C40" s="301">
        <f t="shared" ref="C40:H40" si="58">C39/C38*100</f>
        <v>167.73563859453432</v>
      </c>
      <c r="D40" s="301">
        <f t="shared" si="58"/>
        <v>192.73591310251189</v>
      </c>
      <c r="E40" s="301">
        <f t="shared" si="58"/>
        <v>123.68421052631579</v>
      </c>
      <c r="F40" s="301">
        <f t="shared" si="58"/>
        <v>9.6894409937888195</v>
      </c>
      <c r="G40" s="301">
        <f t="shared" si="58"/>
        <v>13.709677419354838</v>
      </c>
      <c r="H40" s="301">
        <f t="shared" si="58"/>
        <v>245.14220705346986</v>
      </c>
      <c r="I40" s="343"/>
      <c r="J40" s="360" t="s">
        <v>12</v>
      </c>
      <c r="K40" s="361">
        <f>K39/K38*100</f>
        <v>215.1442307692308</v>
      </c>
      <c r="L40" s="361">
        <f t="shared" ref="L40:Q40" si="59">L39/L38*100</f>
        <v>242.94940796555434</v>
      </c>
      <c r="M40" s="361">
        <f t="shared" si="59"/>
        <v>282.41866579033848</v>
      </c>
      <c r="N40" s="361">
        <f t="shared" si="59"/>
        <v>1885.7142857142858</v>
      </c>
      <c r="O40" s="361">
        <f t="shared" si="59"/>
        <v>14.566929133858267</v>
      </c>
      <c r="P40" s="361">
        <f t="shared" si="59"/>
        <v>21.935483870967744</v>
      </c>
      <c r="Q40" s="361">
        <f t="shared" si="59"/>
        <v>348.55665661352867</v>
      </c>
      <c r="R40" s="360" t="s">
        <v>12</v>
      </c>
      <c r="S40" s="361">
        <f>S39/S38*100</f>
        <v>129.42817294281724</v>
      </c>
      <c r="T40" s="361">
        <f t="shared" ref="T40:Y40" si="60">T39/T38*100</f>
        <v>86.342592592592595</v>
      </c>
      <c r="U40" s="361">
        <f t="shared" si="60"/>
        <v>96.31449631449631</v>
      </c>
      <c r="V40" s="361">
        <f t="shared" si="60"/>
        <v>20.612813370473539</v>
      </c>
      <c r="W40" s="361">
        <f t="shared" si="60"/>
        <v>1.3468013468013467</v>
      </c>
      <c r="X40" s="361">
        <f t="shared" si="60"/>
        <v>0</v>
      </c>
      <c r="Y40" s="361">
        <f t="shared" si="60"/>
        <v>128.54387656702025</v>
      </c>
      <c r="AA40" s="360" t="s">
        <v>12</v>
      </c>
      <c r="AB40" s="361">
        <f>AB39/AB38*100</f>
        <v>110.40462427745668</v>
      </c>
      <c r="AC40" s="361">
        <f t="shared" ref="AC40:AH40" si="61">AC39/AC38*100</f>
        <v>49.874055415617129</v>
      </c>
      <c r="AD40" s="361">
        <f t="shared" si="61"/>
        <v>55.367913148371528</v>
      </c>
      <c r="AE40" s="361">
        <f t="shared" si="61"/>
        <v>0.65146579804560267</v>
      </c>
      <c r="AF40" s="361">
        <f t="shared" si="61"/>
        <v>0</v>
      </c>
      <c r="AG40" s="361">
        <f t="shared" si="61"/>
        <v>0</v>
      </c>
      <c r="AH40" s="361">
        <f t="shared" si="61"/>
        <v>73.574297188755025</v>
      </c>
      <c r="AJ40" s="360" t="s">
        <v>12</v>
      </c>
      <c r="AK40" s="361" t="e">
        <f>AK39/AK38*100</f>
        <v>#DIV/0!</v>
      </c>
      <c r="AL40" s="361" t="e">
        <f t="shared" ref="AL40:AQ40" si="62">AL39/AL38*100</f>
        <v>#DIV/0!</v>
      </c>
      <c r="AM40" s="361" t="e">
        <f t="shared" si="62"/>
        <v>#DIV/0!</v>
      </c>
      <c r="AN40" s="361" t="e">
        <f t="shared" si="62"/>
        <v>#DIV/0!</v>
      </c>
      <c r="AO40" s="361" t="e">
        <f t="shared" si="62"/>
        <v>#DIV/0!</v>
      </c>
      <c r="AP40" s="361" t="e">
        <f t="shared" si="62"/>
        <v>#DIV/0!</v>
      </c>
      <c r="AQ40" s="361" t="e">
        <f t="shared" si="62"/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63">K9+S9+AK9</f>
        <v>521.82999999999993</v>
      </c>
      <c r="C46" s="83">
        <f t="shared" si="63"/>
        <v>27020</v>
      </c>
      <c r="D46" s="83">
        <f t="shared" si="63"/>
        <v>22650.5</v>
      </c>
      <c r="E46" s="83">
        <f t="shared" si="63"/>
        <v>3352</v>
      </c>
      <c r="F46" s="83">
        <f t="shared" si="63"/>
        <v>4427.5</v>
      </c>
      <c r="G46" s="83">
        <f t="shared" si="63"/>
        <v>844</v>
      </c>
      <c r="H46" s="83">
        <f t="shared" si="63"/>
        <v>13603</v>
      </c>
    </row>
    <row r="47" spans="1:43">
      <c r="A47" s="84" t="s">
        <v>50</v>
      </c>
      <c r="B47" s="83">
        <f t="shared" si="63"/>
        <v>658.4</v>
      </c>
      <c r="C47" s="83">
        <f t="shared" si="63"/>
        <v>24726</v>
      </c>
      <c r="D47" s="83">
        <f t="shared" si="63"/>
        <v>22810</v>
      </c>
      <c r="E47" s="83">
        <f t="shared" si="63"/>
        <v>1958</v>
      </c>
      <c r="F47" s="83">
        <f t="shared" si="63"/>
        <v>862</v>
      </c>
      <c r="G47" s="83">
        <f t="shared" si="63"/>
        <v>63</v>
      </c>
      <c r="H47" s="83">
        <f t="shared" si="63"/>
        <v>19927</v>
      </c>
    </row>
    <row r="48" spans="1:43">
      <c r="A48" s="85" t="s">
        <v>44</v>
      </c>
      <c r="B48" s="86">
        <f>B47/B46*100</f>
        <v>126.17135848839662</v>
      </c>
      <c r="C48" s="86">
        <f t="shared" ref="C48:H48" si="64">C47/C46*100</f>
        <v>91.509992598075499</v>
      </c>
      <c r="D48" s="86">
        <f t="shared" si="64"/>
        <v>100.70417871570163</v>
      </c>
      <c r="E48" s="86">
        <f t="shared" si="64"/>
        <v>58.412887828162297</v>
      </c>
      <c r="F48" s="86">
        <f t="shared" si="64"/>
        <v>19.469226425748165</v>
      </c>
      <c r="G48" s="86">
        <f t="shared" si="64"/>
        <v>7.4644549763033172</v>
      </c>
      <c r="H48" s="86">
        <f t="shared" si="64"/>
        <v>146.4897449092112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5">K13+S13+AK13</f>
        <v>78.969999999999985</v>
      </c>
      <c r="C50" s="90">
        <f t="shared" si="65"/>
        <v>5329.5</v>
      </c>
      <c r="D50" s="90">
        <f t="shared" si="65"/>
        <v>4141</v>
      </c>
      <c r="E50" s="90">
        <f t="shared" si="65"/>
        <v>1389</v>
      </c>
      <c r="F50" s="90">
        <f t="shared" si="65"/>
        <v>1510.5</v>
      </c>
      <c r="G50" s="90">
        <f t="shared" si="65"/>
        <v>247</v>
      </c>
      <c r="H50" s="90">
        <f t="shared" si="65"/>
        <v>853</v>
      </c>
    </row>
    <row r="51" spans="1:8">
      <c r="A51" s="75" t="s">
        <v>50</v>
      </c>
      <c r="B51" s="90">
        <f t="shared" si="65"/>
        <v>72.099999999999994</v>
      </c>
      <c r="C51" s="90">
        <f t="shared" si="65"/>
        <v>4726</v>
      </c>
      <c r="D51" s="90">
        <f t="shared" si="65"/>
        <v>3840</v>
      </c>
      <c r="E51" s="90">
        <f t="shared" si="65"/>
        <v>1026</v>
      </c>
      <c r="F51" s="90">
        <f t="shared" si="65"/>
        <v>755</v>
      </c>
      <c r="G51" s="90">
        <f t="shared" si="65"/>
        <v>37</v>
      </c>
      <c r="H51" s="90">
        <f t="shared" si="65"/>
        <v>2022</v>
      </c>
    </row>
    <row r="52" spans="1:8">
      <c r="A52" s="75" t="s">
        <v>44</v>
      </c>
      <c r="B52" s="91">
        <f t="shared" ref="B52:H52" si="66">B51/B50*100</f>
        <v>91.300493858427259</v>
      </c>
      <c r="C52" s="91">
        <f t="shared" si="66"/>
        <v>88.676236044657102</v>
      </c>
      <c r="D52" s="91">
        <f t="shared" si="66"/>
        <v>92.731224341946401</v>
      </c>
      <c r="E52" s="91">
        <f t="shared" si="66"/>
        <v>73.866090712742988</v>
      </c>
      <c r="F52" s="91">
        <f t="shared" si="66"/>
        <v>49.983449189010258</v>
      </c>
      <c r="G52" s="91">
        <f t="shared" si="66"/>
        <v>14.979757085020243</v>
      </c>
      <c r="H52" s="91">
        <f t="shared" si="66"/>
        <v>237.04572098475967</v>
      </c>
    </row>
    <row r="53" spans="1:8">
      <c r="A53" s="75" t="s">
        <v>13</v>
      </c>
      <c r="B53" s="90">
        <f t="shared" ref="B53:H55" si="67">K16+S16+AK16</f>
        <v>38.200000000000003</v>
      </c>
      <c r="C53" s="90">
        <f t="shared" si="67"/>
        <v>2183</v>
      </c>
      <c r="D53" s="90">
        <f t="shared" si="67"/>
        <v>1677</v>
      </c>
      <c r="E53" s="90">
        <f t="shared" si="67"/>
        <v>448</v>
      </c>
      <c r="F53" s="90">
        <f t="shared" si="67"/>
        <v>256</v>
      </c>
      <c r="G53" s="90">
        <f t="shared" si="67"/>
        <v>1</v>
      </c>
      <c r="H53" s="90">
        <f t="shared" si="67"/>
        <v>972</v>
      </c>
    </row>
    <row r="54" spans="1:8">
      <c r="A54" s="92" t="s">
        <v>14</v>
      </c>
      <c r="B54" s="90">
        <f t="shared" si="67"/>
        <v>14.5</v>
      </c>
      <c r="C54" s="90">
        <f t="shared" si="67"/>
        <v>1378</v>
      </c>
      <c r="D54" s="90">
        <f t="shared" si="67"/>
        <v>1149</v>
      </c>
      <c r="E54" s="90">
        <f t="shared" si="67"/>
        <v>314</v>
      </c>
      <c r="F54" s="90">
        <f t="shared" si="67"/>
        <v>323</v>
      </c>
      <c r="G54" s="90">
        <f t="shared" si="67"/>
        <v>35</v>
      </c>
      <c r="H54" s="90">
        <f t="shared" si="67"/>
        <v>477</v>
      </c>
    </row>
    <row r="55" spans="1:8">
      <c r="A55" s="75" t="s">
        <v>15</v>
      </c>
      <c r="B55" s="90">
        <f t="shared" si="67"/>
        <v>0</v>
      </c>
      <c r="C55" s="90">
        <f t="shared" si="67"/>
        <v>0</v>
      </c>
      <c r="D55" s="90">
        <f t="shared" si="67"/>
        <v>0</v>
      </c>
      <c r="E55" s="90">
        <f t="shared" si="67"/>
        <v>0</v>
      </c>
      <c r="F55" s="90">
        <f t="shared" si="67"/>
        <v>0</v>
      </c>
      <c r="G55" s="90">
        <f t="shared" si="67"/>
        <v>0</v>
      </c>
      <c r="H55" s="90">
        <f t="shared" si="67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8">K20+S20+AK20</f>
        <v>442.86</v>
      </c>
      <c r="C57" s="90">
        <f t="shared" si="68"/>
        <v>21690.5</v>
      </c>
      <c r="D57" s="90">
        <f t="shared" si="68"/>
        <v>18509.5</v>
      </c>
      <c r="E57" s="90">
        <f t="shared" si="68"/>
        <v>1963</v>
      </c>
      <c r="F57" s="90">
        <f t="shared" si="68"/>
        <v>2917</v>
      </c>
      <c r="G57" s="90">
        <f t="shared" si="68"/>
        <v>597</v>
      </c>
      <c r="H57" s="90">
        <f t="shared" si="68"/>
        <v>12750</v>
      </c>
    </row>
    <row r="58" spans="1:8">
      <c r="A58" s="92" t="s">
        <v>50</v>
      </c>
      <c r="B58" s="90">
        <f t="shared" si="68"/>
        <v>586.29999999999995</v>
      </c>
      <c r="C58" s="90">
        <f t="shared" si="68"/>
        <v>20000</v>
      </c>
      <c r="D58" s="90">
        <f t="shared" si="68"/>
        <v>18970</v>
      </c>
      <c r="E58" s="90">
        <f t="shared" si="68"/>
        <v>932</v>
      </c>
      <c r="F58" s="90">
        <f t="shared" si="68"/>
        <v>107</v>
      </c>
      <c r="G58" s="90">
        <f t="shared" si="68"/>
        <v>26</v>
      </c>
      <c r="H58" s="90">
        <f t="shared" si="68"/>
        <v>17905</v>
      </c>
    </row>
    <row r="59" spans="1:8">
      <c r="A59" s="75" t="s">
        <v>44</v>
      </c>
      <c r="B59" s="91">
        <f t="shared" ref="B59:H59" si="69">B58/B57*100</f>
        <v>132.38946845504219</v>
      </c>
      <c r="C59" s="91">
        <f t="shared" si="69"/>
        <v>92.206265415735004</v>
      </c>
      <c r="D59" s="91">
        <f t="shared" si="69"/>
        <v>102.48791161295551</v>
      </c>
      <c r="E59" s="91">
        <f t="shared" si="69"/>
        <v>47.478349465104429</v>
      </c>
      <c r="F59" s="91">
        <f t="shared" si="69"/>
        <v>3.6681522111758658</v>
      </c>
      <c r="G59" s="91">
        <f t="shared" si="69"/>
        <v>4.3551088777219427</v>
      </c>
      <c r="H59" s="91">
        <f t="shared" si="69"/>
        <v>140.43137254901961</v>
      </c>
    </row>
    <row r="60" spans="1:8">
      <c r="A60" s="75" t="s">
        <v>21</v>
      </c>
      <c r="B60" s="90">
        <f t="shared" ref="B60:H61" si="70">K23+S23+AK23</f>
        <v>201.26</v>
      </c>
      <c r="C60" s="90">
        <f t="shared" si="70"/>
        <v>11664</v>
      </c>
      <c r="D60" s="90">
        <f t="shared" si="70"/>
        <v>9809</v>
      </c>
      <c r="E60" s="90">
        <f t="shared" si="70"/>
        <v>1533</v>
      </c>
      <c r="F60" s="90">
        <f t="shared" si="70"/>
        <v>1230.5</v>
      </c>
      <c r="G60" s="90">
        <f t="shared" si="70"/>
        <v>289</v>
      </c>
      <c r="H60" s="90">
        <f t="shared" si="70"/>
        <v>6572.5</v>
      </c>
    </row>
    <row r="61" spans="1:8">
      <c r="A61" s="75" t="s">
        <v>51</v>
      </c>
      <c r="B61" s="90">
        <f t="shared" si="70"/>
        <v>214.7</v>
      </c>
      <c r="C61" s="90">
        <f t="shared" si="70"/>
        <v>6666</v>
      </c>
      <c r="D61" s="90">
        <f t="shared" si="70"/>
        <v>6310</v>
      </c>
      <c r="E61" s="90">
        <f t="shared" si="70"/>
        <v>595</v>
      </c>
      <c r="F61" s="90">
        <f t="shared" si="70"/>
        <v>46</v>
      </c>
      <c r="G61" s="90">
        <f t="shared" si="70"/>
        <v>9</v>
      </c>
      <c r="H61" s="90">
        <f t="shared" si="70"/>
        <v>5660</v>
      </c>
    </row>
    <row r="62" spans="1:8">
      <c r="A62" s="75" t="s">
        <v>12</v>
      </c>
      <c r="B62" s="91">
        <f t="shared" ref="B62:H62" si="71">B61/B60*100</f>
        <v>106.67792904700389</v>
      </c>
      <c r="C62" s="91">
        <f t="shared" si="71"/>
        <v>57.150205761316876</v>
      </c>
      <c r="D62" s="91">
        <f t="shared" si="71"/>
        <v>64.328677744928129</v>
      </c>
      <c r="E62" s="91">
        <f t="shared" si="71"/>
        <v>38.81278538812785</v>
      </c>
      <c r="F62" s="91">
        <f t="shared" si="71"/>
        <v>3.7383177570093453</v>
      </c>
      <c r="G62" s="91">
        <f t="shared" si="71"/>
        <v>3.1141868512110724</v>
      </c>
      <c r="H62" s="91">
        <f t="shared" si="71"/>
        <v>86.116394066184867</v>
      </c>
    </row>
    <row r="63" spans="1:8">
      <c r="A63" s="75" t="s">
        <v>23</v>
      </c>
      <c r="B63" s="90">
        <f t="shared" ref="B63:H64" si="72">K26+S26+AK26</f>
        <v>67.200000000000017</v>
      </c>
      <c r="C63" s="90">
        <f t="shared" si="72"/>
        <v>2332</v>
      </c>
      <c r="D63" s="90">
        <f t="shared" si="72"/>
        <v>2096.5</v>
      </c>
      <c r="E63" s="90">
        <f t="shared" si="72"/>
        <v>86.5</v>
      </c>
      <c r="F63" s="90">
        <f t="shared" si="72"/>
        <v>433</v>
      </c>
      <c r="G63" s="90">
        <f t="shared" si="72"/>
        <v>48.5</v>
      </c>
      <c r="H63" s="90">
        <f t="shared" si="72"/>
        <v>1505.5</v>
      </c>
    </row>
    <row r="64" spans="1:8">
      <c r="A64" s="75" t="s">
        <v>45</v>
      </c>
      <c r="B64" s="90">
        <f t="shared" si="72"/>
        <v>88.6</v>
      </c>
      <c r="C64" s="90">
        <f t="shared" si="72"/>
        <v>1530</v>
      </c>
      <c r="D64" s="90">
        <f t="shared" si="72"/>
        <v>1474</v>
      </c>
      <c r="E64" s="90">
        <f t="shared" si="72"/>
        <v>84</v>
      </c>
      <c r="F64" s="90">
        <f t="shared" si="72"/>
        <v>16</v>
      </c>
      <c r="G64" s="90">
        <f t="shared" si="72"/>
        <v>0</v>
      </c>
      <c r="H64" s="90">
        <f t="shared" si="72"/>
        <v>1374</v>
      </c>
    </row>
    <row r="65" spans="1:8">
      <c r="A65" s="75" t="s">
        <v>12</v>
      </c>
      <c r="B65" s="91">
        <f t="shared" ref="B65:H65" si="73">B64/B63*100</f>
        <v>131.84523809523805</v>
      </c>
      <c r="C65" s="91">
        <f t="shared" si="73"/>
        <v>65.608919382504283</v>
      </c>
      <c r="D65" s="91">
        <f t="shared" si="73"/>
        <v>70.307655616503695</v>
      </c>
      <c r="E65" s="91">
        <f t="shared" si="73"/>
        <v>97.109826589595372</v>
      </c>
      <c r="F65" s="91">
        <f t="shared" si="73"/>
        <v>3.695150115473441</v>
      </c>
      <c r="G65" s="91">
        <f t="shared" si="73"/>
        <v>0</v>
      </c>
      <c r="H65" s="91">
        <f t="shared" si="73"/>
        <v>91.265360345400211</v>
      </c>
    </row>
    <row r="66" spans="1:8">
      <c r="A66" s="75" t="s">
        <v>25</v>
      </c>
      <c r="B66" s="90">
        <f t="shared" ref="B66:H67" si="74">K29+S29+AK29</f>
        <v>64.47</v>
      </c>
      <c r="C66" s="90">
        <f t="shared" si="74"/>
        <v>2395</v>
      </c>
      <c r="D66" s="90">
        <f t="shared" si="74"/>
        <v>2143</v>
      </c>
      <c r="E66" s="90">
        <f t="shared" si="74"/>
        <v>94</v>
      </c>
      <c r="F66" s="90">
        <f t="shared" si="74"/>
        <v>447.5</v>
      </c>
      <c r="G66" s="90">
        <f t="shared" si="74"/>
        <v>14.5</v>
      </c>
      <c r="H66" s="90">
        <f t="shared" si="74"/>
        <v>1560</v>
      </c>
    </row>
    <row r="67" spans="1:8">
      <c r="A67" s="75" t="s">
        <v>46</v>
      </c>
      <c r="B67" s="90">
        <f t="shared" si="74"/>
        <v>88.500000000000014</v>
      </c>
      <c r="C67" s="90">
        <f t="shared" si="74"/>
        <v>3088</v>
      </c>
      <c r="D67" s="90">
        <f t="shared" si="74"/>
        <v>2961</v>
      </c>
      <c r="E67" s="90">
        <f t="shared" si="74"/>
        <v>0</v>
      </c>
      <c r="F67" s="90">
        <f t="shared" si="74"/>
        <v>0</v>
      </c>
      <c r="G67" s="90">
        <f t="shared" si="74"/>
        <v>0</v>
      </c>
      <c r="H67" s="90">
        <f t="shared" si="74"/>
        <v>2961</v>
      </c>
    </row>
    <row r="68" spans="1:8">
      <c r="A68" s="75" t="s">
        <v>12</v>
      </c>
      <c r="B68" s="91">
        <f t="shared" ref="B68:H68" si="75">B67/B66*100</f>
        <v>137.27315030246629</v>
      </c>
      <c r="C68" s="91">
        <f t="shared" si="75"/>
        <v>128.93528183716074</v>
      </c>
      <c r="D68" s="91">
        <f t="shared" si="75"/>
        <v>138.1707886140924</v>
      </c>
      <c r="E68" s="91">
        <f t="shared" si="75"/>
        <v>0</v>
      </c>
      <c r="F68" s="91">
        <f t="shared" si="75"/>
        <v>0</v>
      </c>
      <c r="G68" s="91">
        <f t="shared" si="75"/>
        <v>0</v>
      </c>
      <c r="H68" s="91">
        <f t="shared" si="75"/>
        <v>189.80769230769229</v>
      </c>
    </row>
    <row r="69" spans="1:8">
      <c r="A69" s="75" t="s">
        <v>27</v>
      </c>
      <c r="B69" s="90">
        <f t="shared" ref="B69:H70" si="76">K32+S32+AK32</f>
        <v>2.61</v>
      </c>
      <c r="C69" s="90">
        <f t="shared" si="76"/>
        <v>179</v>
      </c>
      <c r="D69" s="90">
        <f t="shared" si="76"/>
        <v>156.5</v>
      </c>
      <c r="E69" s="90">
        <f t="shared" si="76"/>
        <v>59.5</v>
      </c>
      <c r="F69" s="90">
        <f t="shared" si="76"/>
        <v>19</v>
      </c>
      <c r="G69" s="90">
        <f t="shared" si="76"/>
        <v>6</v>
      </c>
      <c r="H69" s="90">
        <f t="shared" si="76"/>
        <v>70.5</v>
      </c>
    </row>
    <row r="70" spans="1:8">
      <c r="A70" s="75" t="s">
        <v>47</v>
      </c>
      <c r="B70" s="90">
        <f t="shared" si="76"/>
        <v>0</v>
      </c>
      <c r="C70" s="90">
        <f t="shared" si="76"/>
        <v>4</v>
      </c>
      <c r="D70" s="90">
        <f t="shared" si="76"/>
        <v>4</v>
      </c>
      <c r="E70" s="90">
        <f t="shared" si="76"/>
        <v>0</v>
      </c>
      <c r="F70" s="90">
        <f t="shared" si="76"/>
        <v>0</v>
      </c>
      <c r="G70" s="90">
        <f t="shared" si="76"/>
        <v>0</v>
      </c>
      <c r="H70" s="90">
        <f t="shared" si="76"/>
        <v>4</v>
      </c>
    </row>
    <row r="71" spans="1:8">
      <c r="A71" s="75" t="s">
        <v>12</v>
      </c>
      <c r="B71" s="91">
        <f t="shared" ref="B71:H71" si="77">B70/B69*100</f>
        <v>0</v>
      </c>
      <c r="C71" s="91">
        <f t="shared" si="77"/>
        <v>2.2346368715083798</v>
      </c>
      <c r="D71" s="91">
        <f t="shared" si="77"/>
        <v>2.5559105431309903</v>
      </c>
      <c r="E71" s="91">
        <f t="shared" si="77"/>
        <v>0</v>
      </c>
      <c r="F71" s="91">
        <f t="shared" si="77"/>
        <v>0</v>
      </c>
      <c r="G71" s="91">
        <f t="shared" si="77"/>
        <v>0</v>
      </c>
      <c r="H71" s="91">
        <f t="shared" si="77"/>
        <v>5.6737588652482271</v>
      </c>
    </row>
    <row r="72" spans="1:8">
      <c r="A72" s="75" t="s">
        <v>29</v>
      </c>
      <c r="B72" s="90">
        <f t="shared" ref="B72:H73" si="78">K35+S35+AK35</f>
        <v>21.549999999999997</v>
      </c>
      <c r="C72" s="90">
        <f t="shared" si="78"/>
        <v>1534.5</v>
      </c>
      <c r="D72" s="90">
        <f t="shared" si="78"/>
        <v>1358.5</v>
      </c>
      <c r="E72" s="90">
        <f t="shared" si="78"/>
        <v>0</v>
      </c>
      <c r="F72" s="90">
        <f t="shared" si="78"/>
        <v>384.5</v>
      </c>
      <c r="G72" s="90">
        <f t="shared" si="78"/>
        <v>115</v>
      </c>
      <c r="H72" s="90">
        <f t="shared" si="78"/>
        <v>844</v>
      </c>
    </row>
    <row r="73" spans="1:8">
      <c r="A73" s="75" t="s">
        <v>48</v>
      </c>
      <c r="B73" s="90">
        <f t="shared" si="78"/>
        <v>38.6</v>
      </c>
      <c r="C73" s="90">
        <f t="shared" si="78"/>
        <v>2697</v>
      </c>
      <c r="D73" s="90">
        <f t="shared" si="78"/>
        <v>2543</v>
      </c>
      <c r="E73" s="90">
        <f t="shared" si="78"/>
        <v>18</v>
      </c>
      <c r="F73" s="90">
        <f t="shared" si="78"/>
        <v>6</v>
      </c>
      <c r="G73" s="90">
        <f t="shared" si="78"/>
        <v>0</v>
      </c>
      <c r="H73" s="90">
        <f t="shared" si="78"/>
        <v>2519</v>
      </c>
    </row>
    <row r="74" spans="1:8">
      <c r="A74" s="75" t="s">
        <v>12</v>
      </c>
      <c r="B74" s="91">
        <f t="shared" ref="B74:H74" si="79">B73/B72*100</f>
        <v>179.11832946635732</v>
      </c>
      <c r="C74" s="91">
        <f t="shared" si="79"/>
        <v>175.75757575757575</v>
      </c>
      <c r="D74" s="91">
        <f t="shared" si="79"/>
        <v>187.19175561280827</v>
      </c>
      <c r="E74" s="91" t="e">
        <f t="shared" si="79"/>
        <v>#DIV/0!</v>
      </c>
      <c r="F74" s="91">
        <f t="shared" si="79"/>
        <v>1.5604681404421328</v>
      </c>
      <c r="G74" s="91">
        <f t="shared" si="79"/>
        <v>0</v>
      </c>
      <c r="H74" s="91">
        <f t="shared" si="79"/>
        <v>298.45971563981044</v>
      </c>
    </row>
    <row r="75" spans="1:8">
      <c r="A75" s="75" t="s">
        <v>31</v>
      </c>
      <c r="B75" s="90">
        <f t="shared" ref="B75:H76" si="80">K38+S38+AK38</f>
        <v>85.77000000000001</v>
      </c>
      <c r="C75" s="90">
        <f t="shared" si="80"/>
        <v>3586</v>
      </c>
      <c r="D75" s="90">
        <f t="shared" si="80"/>
        <v>2946</v>
      </c>
      <c r="E75" s="90">
        <f t="shared" si="80"/>
        <v>190</v>
      </c>
      <c r="F75" s="90">
        <f t="shared" si="80"/>
        <v>402.5</v>
      </c>
      <c r="G75" s="90">
        <f t="shared" si="80"/>
        <v>124</v>
      </c>
      <c r="H75" s="90">
        <f t="shared" si="80"/>
        <v>2197.5</v>
      </c>
    </row>
    <row r="76" spans="1:8">
      <c r="A76" s="75" t="s">
        <v>52</v>
      </c>
      <c r="B76" s="90">
        <f t="shared" si="80"/>
        <v>155.9</v>
      </c>
      <c r="C76" s="90">
        <f t="shared" si="80"/>
        <v>6015</v>
      </c>
      <c r="D76" s="90">
        <f t="shared" si="80"/>
        <v>5678</v>
      </c>
      <c r="E76" s="90">
        <f t="shared" si="80"/>
        <v>235</v>
      </c>
      <c r="F76" s="90">
        <f t="shared" si="80"/>
        <v>39</v>
      </c>
      <c r="G76" s="90">
        <f t="shared" si="80"/>
        <v>17</v>
      </c>
      <c r="H76" s="90">
        <f t="shared" si="80"/>
        <v>5387</v>
      </c>
    </row>
    <row r="77" spans="1:8">
      <c r="A77" s="75" t="s">
        <v>12</v>
      </c>
      <c r="B77" s="91">
        <f t="shared" ref="B77:H77" si="81">B76/B75*100</f>
        <v>181.76518596245771</v>
      </c>
      <c r="C77" s="91">
        <f t="shared" si="81"/>
        <v>167.73563859453432</v>
      </c>
      <c r="D77" s="91">
        <f t="shared" si="81"/>
        <v>192.73591310251189</v>
      </c>
      <c r="E77" s="91">
        <f t="shared" si="81"/>
        <v>123.68421052631579</v>
      </c>
      <c r="F77" s="91">
        <f t="shared" si="81"/>
        <v>9.6894409937888195</v>
      </c>
      <c r="G77" s="91">
        <f t="shared" si="81"/>
        <v>13.709677419354838</v>
      </c>
      <c r="H77" s="91">
        <f t="shared" si="81"/>
        <v>245.14220705346986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2">B9-B46</f>
        <v>0</v>
      </c>
      <c r="C83" s="83">
        <f t="shared" si="82"/>
        <v>0</v>
      </c>
      <c r="D83" s="83">
        <f t="shared" si="82"/>
        <v>0</v>
      </c>
      <c r="E83" s="83">
        <f t="shared" si="82"/>
        <v>0</v>
      </c>
      <c r="F83" s="83">
        <f t="shared" si="82"/>
        <v>0</v>
      </c>
      <c r="G83" s="83">
        <f t="shared" si="82"/>
        <v>0</v>
      </c>
      <c r="H83" s="83">
        <f t="shared" si="82"/>
        <v>0</v>
      </c>
    </row>
    <row r="84" spans="1:8">
      <c r="A84" s="84" t="s">
        <v>50</v>
      </c>
      <c r="B84" s="83">
        <f t="shared" si="82"/>
        <v>0</v>
      </c>
      <c r="C84" s="83">
        <f t="shared" si="82"/>
        <v>0</v>
      </c>
      <c r="D84" s="83">
        <f t="shared" si="82"/>
        <v>0</v>
      </c>
      <c r="E84" s="83">
        <f t="shared" si="82"/>
        <v>0</v>
      </c>
      <c r="F84" s="83">
        <f t="shared" si="82"/>
        <v>0</v>
      </c>
      <c r="G84" s="83">
        <f t="shared" si="82"/>
        <v>0</v>
      </c>
      <c r="H84" s="83">
        <f t="shared" si="82"/>
        <v>0</v>
      </c>
    </row>
    <row r="85" spans="1:8">
      <c r="A85" s="85" t="s">
        <v>44</v>
      </c>
      <c r="B85" s="83">
        <f t="shared" si="82"/>
        <v>0</v>
      </c>
      <c r="C85" s="83">
        <f t="shared" si="82"/>
        <v>0</v>
      </c>
      <c r="D85" s="83">
        <f t="shared" si="82"/>
        <v>0</v>
      </c>
      <c r="E85" s="83">
        <f t="shared" si="82"/>
        <v>0</v>
      </c>
      <c r="F85" s="83">
        <f t="shared" si="82"/>
        <v>0</v>
      </c>
      <c r="G85" s="83">
        <f t="shared" si="82"/>
        <v>0</v>
      </c>
      <c r="H85" s="83">
        <f t="shared" si="82"/>
        <v>0</v>
      </c>
    </row>
    <row r="86" spans="1:8">
      <c r="A86" s="87" t="s">
        <v>11</v>
      </c>
      <c r="B86" s="83">
        <f t="shared" si="82"/>
        <v>0</v>
      </c>
      <c r="C86" s="83">
        <f t="shared" si="82"/>
        <v>0</v>
      </c>
      <c r="D86" s="83">
        <f t="shared" si="82"/>
        <v>0</v>
      </c>
      <c r="E86" s="83">
        <f t="shared" si="82"/>
        <v>0</v>
      </c>
      <c r="F86" s="83">
        <f t="shared" si="82"/>
        <v>0</v>
      </c>
      <c r="G86" s="83">
        <f t="shared" si="82"/>
        <v>0</v>
      </c>
      <c r="H86" s="83">
        <f t="shared" si="82"/>
        <v>0</v>
      </c>
    </row>
    <row r="87" spans="1:8">
      <c r="A87" s="75" t="s">
        <v>40</v>
      </c>
      <c r="B87" s="83">
        <f t="shared" si="82"/>
        <v>0</v>
      </c>
      <c r="C87" s="83">
        <f t="shared" si="82"/>
        <v>0</v>
      </c>
      <c r="D87" s="83">
        <f t="shared" si="82"/>
        <v>0</v>
      </c>
      <c r="E87" s="83">
        <f t="shared" si="82"/>
        <v>0</v>
      </c>
      <c r="F87" s="83">
        <f t="shared" si="82"/>
        <v>0</v>
      </c>
      <c r="G87" s="83">
        <f t="shared" si="82"/>
        <v>0</v>
      </c>
      <c r="H87" s="83">
        <f t="shared" si="82"/>
        <v>0</v>
      </c>
    </row>
    <row r="88" spans="1:8">
      <c r="A88" s="75" t="s">
        <v>50</v>
      </c>
      <c r="B88" s="83">
        <f t="shared" si="82"/>
        <v>0</v>
      </c>
      <c r="C88" s="83">
        <f t="shared" si="82"/>
        <v>0</v>
      </c>
      <c r="D88" s="83">
        <f t="shared" si="82"/>
        <v>0</v>
      </c>
      <c r="E88" s="83">
        <f t="shared" si="82"/>
        <v>0</v>
      </c>
      <c r="F88" s="83">
        <f t="shared" si="82"/>
        <v>0</v>
      </c>
      <c r="G88" s="83">
        <f t="shared" si="82"/>
        <v>0</v>
      </c>
      <c r="H88" s="83">
        <f t="shared" si="82"/>
        <v>0</v>
      </c>
    </row>
    <row r="89" spans="1:8">
      <c r="A89" s="75" t="s">
        <v>44</v>
      </c>
      <c r="B89" s="83">
        <f t="shared" si="82"/>
        <v>0</v>
      </c>
      <c r="C89" s="83">
        <f t="shared" si="82"/>
        <v>0</v>
      </c>
      <c r="D89" s="83">
        <f t="shared" si="82"/>
        <v>0</v>
      </c>
      <c r="E89" s="83">
        <f t="shared" si="82"/>
        <v>0</v>
      </c>
      <c r="F89" s="83">
        <f t="shared" si="82"/>
        <v>0</v>
      </c>
      <c r="G89" s="83">
        <f t="shared" si="82"/>
        <v>0</v>
      </c>
      <c r="H89" s="83">
        <f t="shared" si="82"/>
        <v>0</v>
      </c>
    </row>
    <row r="90" spans="1:8">
      <c r="A90" s="75" t="s">
        <v>13</v>
      </c>
      <c r="B90" s="83">
        <f t="shared" si="82"/>
        <v>0</v>
      </c>
      <c r="C90" s="83">
        <f t="shared" si="82"/>
        <v>0</v>
      </c>
      <c r="D90" s="83">
        <f t="shared" si="82"/>
        <v>0</v>
      </c>
      <c r="E90" s="83">
        <f t="shared" si="82"/>
        <v>0</v>
      </c>
      <c r="F90" s="83">
        <f t="shared" si="82"/>
        <v>0</v>
      </c>
      <c r="G90" s="83">
        <f t="shared" si="82"/>
        <v>0</v>
      </c>
      <c r="H90" s="83">
        <f t="shared" si="82"/>
        <v>0</v>
      </c>
    </row>
    <row r="91" spans="1:8">
      <c r="A91" s="92" t="s">
        <v>14</v>
      </c>
      <c r="B91" s="83">
        <f t="shared" si="82"/>
        <v>0</v>
      </c>
      <c r="C91" s="83">
        <f t="shared" si="82"/>
        <v>0</v>
      </c>
      <c r="D91" s="83">
        <f t="shared" si="82"/>
        <v>0</v>
      </c>
      <c r="E91" s="83">
        <f t="shared" si="82"/>
        <v>0</v>
      </c>
      <c r="F91" s="83">
        <f t="shared" si="82"/>
        <v>0</v>
      </c>
      <c r="G91" s="83">
        <f t="shared" si="82"/>
        <v>0</v>
      </c>
      <c r="H91" s="83">
        <f t="shared" si="82"/>
        <v>0</v>
      </c>
    </row>
    <row r="92" spans="1:8">
      <c r="A92" s="75" t="s">
        <v>15</v>
      </c>
      <c r="B92" s="83">
        <f t="shared" si="82"/>
        <v>0</v>
      </c>
      <c r="C92" s="83">
        <f t="shared" si="82"/>
        <v>0</v>
      </c>
      <c r="D92" s="83">
        <f t="shared" si="82"/>
        <v>0</v>
      </c>
      <c r="E92" s="83">
        <f t="shared" si="82"/>
        <v>0</v>
      </c>
      <c r="F92" s="83">
        <f t="shared" si="82"/>
        <v>0</v>
      </c>
      <c r="G92" s="83">
        <f t="shared" si="82"/>
        <v>0</v>
      </c>
      <c r="H92" s="83">
        <f t="shared" si="82"/>
        <v>0</v>
      </c>
    </row>
    <row r="93" spans="1:8">
      <c r="A93" s="87" t="s">
        <v>16</v>
      </c>
      <c r="B93" s="83">
        <f t="shared" si="82"/>
        <v>0</v>
      </c>
      <c r="C93" s="83">
        <f t="shared" si="82"/>
        <v>0</v>
      </c>
      <c r="D93" s="83">
        <f t="shared" si="82"/>
        <v>0</v>
      </c>
      <c r="E93" s="83">
        <f t="shared" si="82"/>
        <v>0</v>
      </c>
      <c r="F93" s="83">
        <f t="shared" si="82"/>
        <v>0</v>
      </c>
      <c r="G93" s="83">
        <f t="shared" si="82"/>
        <v>0</v>
      </c>
      <c r="H93" s="83">
        <f t="shared" si="82"/>
        <v>0</v>
      </c>
    </row>
    <row r="94" spans="1:8">
      <c r="A94" s="75" t="s">
        <v>40</v>
      </c>
      <c r="B94" s="83">
        <f t="shared" si="82"/>
        <v>0</v>
      </c>
      <c r="C94" s="83">
        <f t="shared" si="82"/>
        <v>0</v>
      </c>
      <c r="D94" s="83">
        <f t="shared" si="82"/>
        <v>0</v>
      </c>
      <c r="E94" s="83">
        <f t="shared" si="82"/>
        <v>0</v>
      </c>
      <c r="F94" s="83">
        <f t="shared" si="82"/>
        <v>0</v>
      </c>
      <c r="G94" s="83">
        <f t="shared" si="82"/>
        <v>0</v>
      </c>
      <c r="H94" s="83">
        <f t="shared" si="82"/>
        <v>0</v>
      </c>
    </row>
    <row r="95" spans="1:8">
      <c r="A95" s="92" t="s">
        <v>50</v>
      </c>
      <c r="B95" s="83">
        <f t="shared" si="82"/>
        <v>0</v>
      </c>
      <c r="C95" s="83">
        <f t="shared" si="82"/>
        <v>0</v>
      </c>
      <c r="D95" s="83">
        <f t="shared" si="82"/>
        <v>0</v>
      </c>
      <c r="E95" s="83">
        <f t="shared" si="82"/>
        <v>0</v>
      </c>
      <c r="F95" s="83">
        <f t="shared" si="82"/>
        <v>0</v>
      </c>
      <c r="G95" s="83">
        <f t="shared" si="82"/>
        <v>0</v>
      </c>
      <c r="H95" s="83">
        <f t="shared" si="82"/>
        <v>0</v>
      </c>
    </row>
    <row r="96" spans="1:8">
      <c r="A96" s="75" t="s">
        <v>44</v>
      </c>
      <c r="B96" s="83">
        <f t="shared" si="82"/>
        <v>0</v>
      </c>
      <c r="C96" s="83">
        <f t="shared" si="82"/>
        <v>0</v>
      </c>
      <c r="D96" s="83">
        <f t="shared" si="82"/>
        <v>0</v>
      </c>
      <c r="E96" s="83">
        <f t="shared" si="82"/>
        <v>0</v>
      </c>
      <c r="F96" s="83">
        <f t="shared" si="82"/>
        <v>0</v>
      </c>
      <c r="G96" s="83">
        <f t="shared" si="82"/>
        <v>0</v>
      </c>
      <c r="H96" s="83">
        <f t="shared" si="82"/>
        <v>0</v>
      </c>
    </row>
    <row r="97" spans="1:8">
      <c r="A97" s="75" t="s">
        <v>21</v>
      </c>
      <c r="B97" s="83">
        <f t="shared" si="82"/>
        <v>0</v>
      </c>
      <c r="C97" s="83">
        <f t="shared" si="82"/>
        <v>0</v>
      </c>
      <c r="D97" s="83">
        <f t="shared" si="82"/>
        <v>0</v>
      </c>
      <c r="E97" s="83">
        <f t="shared" si="82"/>
        <v>0</v>
      </c>
      <c r="F97" s="83">
        <f t="shared" si="82"/>
        <v>0</v>
      </c>
      <c r="G97" s="83">
        <f t="shared" si="82"/>
        <v>0</v>
      </c>
      <c r="H97" s="83">
        <f t="shared" si="82"/>
        <v>0</v>
      </c>
    </row>
    <row r="98" spans="1:8">
      <c r="A98" s="75" t="s">
        <v>51</v>
      </c>
      <c r="B98" s="83">
        <f t="shared" si="82"/>
        <v>0</v>
      </c>
      <c r="C98" s="83">
        <f t="shared" si="82"/>
        <v>0</v>
      </c>
      <c r="D98" s="83">
        <f t="shared" si="82"/>
        <v>0</v>
      </c>
      <c r="E98" s="83">
        <f t="shared" si="82"/>
        <v>0</v>
      </c>
      <c r="F98" s="83">
        <f t="shared" si="82"/>
        <v>0</v>
      </c>
      <c r="G98" s="83">
        <f t="shared" si="82"/>
        <v>0</v>
      </c>
      <c r="H98" s="83">
        <f t=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>
        <f t="shared" si="83"/>
        <v>0</v>
      </c>
      <c r="D99" s="83">
        <f t="shared" si="83"/>
        <v>0</v>
      </c>
      <c r="E99" s="83">
        <f t="shared" si="83"/>
        <v>0</v>
      </c>
      <c r="F99" s="83">
        <f t="shared" si="83"/>
        <v>0</v>
      </c>
      <c r="G99" s="83">
        <f t="shared" si="83"/>
        <v>0</v>
      </c>
      <c r="H99" s="83">
        <f t="shared" si="83"/>
        <v>0</v>
      </c>
    </row>
    <row r="100" spans="1:8">
      <c r="A100" s="75" t="s">
        <v>23</v>
      </c>
      <c r="B100" s="83">
        <f t="shared" si="83"/>
        <v>0</v>
      </c>
      <c r="C100" s="83">
        <f t="shared" si="83"/>
        <v>0</v>
      </c>
      <c r="D100" s="83">
        <f t="shared" si="83"/>
        <v>0</v>
      </c>
      <c r="E100" s="83">
        <f t="shared" si="83"/>
        <v>0</v>
      </c>
      <c r="F100" s="83">
        <f t="shared" si="83"/>
        <v>0</v>
      </c>
      <c r="G100" s="83">
        <f t="shared" si="83"/>
        <v>0</v>
      </c>
      <c r="H100" s="83">
        <f t="shared" si="83"/>
        <v>0</v>
      </c>
    </row>
    <row r="101" spans="1:8">
      <c r="A101" s="75" t="s">
        <v>45</v>
      </c>
      <c r="B101" s="83">
        <f t="shared" si="83"/>
        <v>0</v>
      </c>
      <c r="C101" s="83">
        <f t="shared" si="83"/>
        <v>0</v>
      </c>
      <c r="D101" s="83">
        <f t="shared" si="83"/>
        <v>0</v>
      </c>
      <c r="E101" s="83">
        <f t="shared" si="83"/>
        <v>0</v>
      </c>
      <c r="F101" s="83">
        <f t="shared" si="83"/>
        <v>0</v>
      </c>
      <c r="G101" s="83">
        <f t="shared" si="83"/>
        <v>0</v>
      </c>
      <c r="H101" s="83">
        <f t="shared" si="83"/>
        <v>0</v>
      </c>
    </row>
    <row r="102" spans="1:8">
      <c r="A102" s="75" t="s">
        <v>12</v>
      </c>
      <c r="B102" s="83">
        <f t="shared" si="83"/>
        <v>0</v>
      </c>
      <c r="C102" s="83">
        <f t="shared" si="83"/>
        <v>0</v>
      </c>
      <c r="D102" s="83">
        <f t="shared" si="83"/>
        <v>0</v>
      </c>
      <c r="E102" s="83">
        <f t="shared" si="83"/>
        <v>0</v>
      </c>
      <c r="F102" s="83">
        <f t="shared" si="83"/>
        <v>0</v>
      </c>
      <c r="G102" s="83">
        <f t="shared" si="83"/>
        <v>0</v>
      </c>
      <c r="H102" s="83">
        <f t="shared" si="83"/>
        <v>0</v>
      </c>
    </row>
    <row r="103" spans="1:8">
      <c r="A103" s="75" t="s">
        <v>25</v>
      </c>
      <c r="B103" s="83">
        <f t="shared" si="83"/>
        <v>0</v>
      </c>
      <c r="C103" s="83">
        <f t="shared" si="83"/>
        <v>0</v>
      </c>
      <c r="D103" s="83">
        <f t="shared" si="83"/>
        <v>0</v>
      </c>
      <c r="E103" s="83">
        <f t="shared" si="83"/>
        <v>0</v>
      </c>
      <c r="F103" s="83">
        <f t="shared" si="83"/>
        <v>0</v>
      </c>
      <c r="G103" s="83">
        <f t="shared" si="83"/>
        <v>0</v>
      </c>
      <c r="H103" s="83">
        <f t="shared" si="83"/>
        <v>0</v>
      </c>
    </row>
    <row r="104" spans="1:8">
      <c r="A104" s="75" t="s">
        <v>46</v>
      </c>
      <c r="B104" s="83">
        <f t="shared" si="83"/>
        <v>0</v>
      </c>
      <c r="C104" s="83">
        <f t="shared" si="83"/>
        <v>0</v>
      </c>
      <c r="D104" s="83">
        <f t="shared" si="83"/>
        <v>0</v>
      </c>
      <c r="E104" s="83">
        <f t="shared" si="83"/>
        <v>0</v>
      </c>
      <c r="F104" s="83">
        <f t="shared" si="83"/>
        <v>0</v>
      </c>
      <c r="G104" s="83">
        <f t="shared" si="83"/>
        <v>0</v>
      </c>
      <c r="H104" s="83">
        <f t="shared" si="83"/>
        <v>0</v>
      </c>
    </row>
    <row r="105" spans="1:8">
      <c r="A105" s="75" t="s">
        <v>12</v>
      </c>
      <c r="B105" s="83">
        <f t="shared" si="83"/>
        <v>0</v>
      </c>
      <c r="C105" s="83">
        <f t="shared" si="83"/>
        <v>0</v>
      </c>
      <c r="D105" s="83">
        <f t="shared" si="83"/>
        <v>0</v>
      </c>
      <c r="E105" s="83">
        <f t="shared" si="83"/>
        <v>0</v>
      </c>
      <c r="F105" s="83">
        <f t="shared" si="83"/>
        <v>0</v>
      </c>
      <c r="G105" s="83">
        <f t="shared" si="83"/>
        <v>0</v>
      </c>
      <c r="H105" s="83">
        <f t="shared" si="83"/>
        <v>0</v>
      </c>
    </row>
    <row r="106" spans="1:8">
      <c r="A106" s="75" t="s">
        <v>27</v>
      </c>
      <c r="B106" s="83">
        <f t="shared" si="83"/>
        <v>0</v>
      </c>
      <c r="C106" s="83">
        <f t="shared" si="83"/>
        <v>0</v>
      </c>
      <c r="D106" s="83">
        <f t="shared" si="83"/>
        <v>0</v>
      </c>
      <c r="E106" s="83">
        <f t="shared" si="83"/>
        <v>0</v>
      </c>
      <c r="F106" s="83">
        <f t="shared" si="83"/>
        <v>0</v>
      </c>
      <c r="G106" s="83">
        <f t="shared" si="83"/>
        <v>0</v>
      </c>
      <c r="H106" s="83">
        <f t="shared" si="83"/>
        <v>0</v>
      </c>
    </row>
    <row r="107" spans="1:8">
      <c r="A107" s="75" t="s">
        <v>47</v>
      </c>
      <c r="B107" s="83">
        <f t="shared" si="83"/>
        <v>0</v>
      </c>
      <c r="C107" s="83">
        <f t="shared" si="83"/>
        <v>0</v>
      </c>
      <c r="D107" s="83">
        <f t="shared" si="83"/>
        <v>0</v>
      </c>
      <c r="E107" s="83">
        <f t="shared" si="83"/>
        <v>0</v>
      </c>
      <c r="F107" s="83">
        <f t="shared" si="83"/>
        <v>0</v>
      </c>
      <c r="G107" s="83">
        <f t="shared" si="83"/>
        <v>0</v>
      </c>
      <c r="H107" s="83">
        <f t="shared" si="83"/>
        <v>0</v>
      </c>
    </row>
    <row r="108" spans="1:8">
      <c r="A108" s="75" t="s">
        <v>12</v>
      </c>
      <c r="B108" s="83">
        <f t="shared" si="83"/>
        <v>0</v>
      </c>
      <c r="C108" s="83">
        <f t="shared" si="83"/>
        <v>0</v>
      </c>
      <c r="D108" s="83">
        <f t="shared" si="83"/>
        <v>0</v>
      </c>
      <c r="E108" s="83">
        <f t="shared" si="83"/>
        <v>0</v>
      </c>
      <c r="F108" s="83">
        <f t="shared" si="83"/>
        <v>0</v>
      </c>
      <c r="G108" s="83">
        <f t="shared" si="83"/>
        <v>0</v>
      </c>
      <c r="H108" s="83">
        <f t="shared" si="83"/>
        <v>0</v>
      </c>
    </row>
    <row r="109" spans="1:8">
      <c r="A109" s="75" t="s">
        <v>29</v>
      </c>
      <c r="B109" s="83">
        <f t="shared" si="83"/>
        <v>0</v>
      </c>
      <c r="C109" s="83">
        <f t="shared" si="83"/>
        <v>0</v>
      </c>
      <c r="D109" s="83">
        <f t="shared" si="83"/>
        <v>0</v>
      </c>
      <c r="E109" s="83">
        <f t="shared" si="83"/>
        <v>0</v>
      </c>
      <c r="F109" s="83">
        <f t="shared" si="83"/>
        <v>0</v>
      </c>
      <c r="G109" s="83">
        <f t="shared" si="83"/>
        <v>0</v>
      </c>
      <c r="H109" s="83">
        <f t="shared" si="83"/>
        <v>0</v>
      </c>
    </row>
    <row r="110" spans="1:8">
      <c r="A110" s="75" t="s">
        <v>48</v>
      </c>
      <c r="B110" s="83">
        <f t="shared" si="83"/>
        <v>0</v>
      </c>
      <c r="C110" s="83">
        <f t="shared" si="83"/>
        <v>0</v>
      </c>
      <c r="D110" s="83">
        <f t="shared" si="83"/>
        <v>0</v>
      </c>
      <c r="E110" s="83">
        <f t="shared" si="83"/>
        <v>0</v>
      </c>
      <c r="F110" s="83">
        <f t="shared" si="83"/>
        <v>0</v>
      </c>
      <c r="G110" s="83">
        <f t="shared" si="83"/>
        <v>0</v>
      </c>
      <c r="H110" s="83">
        <f t="shared" si="83"/>
        <v>0</v>
      </c>
    </row>
    <row r="111" spans="1:8">
      <c r="A111" s="75" t="s">
        <v>12</v>
      </c>
      <c r="B111" s="83">
        <f t="shared" si="83"/>
        <v>0</v>
      </c>
      <c r="C111" s="83">
        <f t="shared" si="83"/>
        <v>0</v>
      </c>
      <c r="D111" s="83">
        <f t="shared" si="83"/>
        <v>0</v>
      </c>
      <c r="E111" s="83" t="e">
        <f t="shared" si="83"/>
        <v>#DIV/0!</v>
      </c>
      <c r="F111" s="83">
        <f t="shared" si="83"/>
        <v>0</v>
      </c>
      <c r="G111" s="83">
        <f t="shared" si="83"/>
        <v>0</v>
      </c>
      <c r="H111" s="83">
        <f t="shared" si="83"/>
        <v>0</v>
      </c>
    </row>
    <row r="112" spans="1:8">
      <c r="A112" s="75" t="s">
        <v>31</v>
      </c>
      <c r="B112" s="83">
        <f t="shared" si="83"/>
        <v>0</v>
      </c>
      <c r="C112" s="83">
        <f t="shared" si="83"/>
        <v>0</v>
      </c>
      <c r="D112" s="83">
        <f t="shared" si="83"/>
        <v>0</v>
      </c>
      <c r="E112" s="83">
        <f t="shared" si="83"/>
        <v>0</v>
      </c>
      <c r="F112" s="83">
        <f t="shared" si="83"/>
        <v>0</v>
      </c>
      <c r="G112" s="83">
        <f t="shared" si="83"/>
        <v>0</v>
      </c>
      <c r="H112" s="83">
        <f t="shared" si="83"/>
        <v>0</v>
      </c>
    </row>
    <row r="113" spans="1:8">
      <c r="A113" s="75" t="s">
        <v>52</v>
      </c>
      <c r="B113" s="83">
        <f t="shared" si="83"/>
        <v>0</v>
      </c>
      <c r="C113" s="83">
        <f t="shared" si="83"/>
        <v>0</v>
      </c>
      <c r="D113" s="83">
        <f t="shared" si="83"/>
        <v>0</v>
      </c>
      <c r="E113" s="83">
        <f t="shared" si="83"/>
        <v>0</v>
      </c>
      <c r="F113" s="83">
        <f t="shared" si="83"/>
        <v>0</v>
      </c>
      <c r="G113" s="83">
        <f t="shared" si="83"/>
        <v>0</v>
      </c>
      <c r="H113" s="83">
        <f t="shared" si="83"/>
        <v>0</v>
      </c>
    </row>
    <row r="114" spans="1:8">
      <c r="A114" s="75" t="s">
        <v>12</v>
      </c>
      <c r="B114" s="83">
        <f t="shared" si="83"/>
        <v>0</v>
      </c>
      <c r="C114" s="83">
        <f t="shared" si="83"/>
        <v>0</v>
      </c>
      <c r="D114" s="83">
        <f t="shared" si="83"/>
        <v>0</v>
      </c>
      <c r="E114" s="83">
        <f t="shared" si="83"/>
        <v>0</v>
      </c>
      <c r="F114" s="83">
        <f t="shared" si="83"/>
        <v>0</v>
      </c>
      <c r="G114" s="83">
        <f t="shared" si="83"/>
        <v>0</v>
      </c>
      <c r="H114" s="83">
        <f t="shared" si="83"/>
        <v>0</v>
      </c>
    </row>
  </sheetData>
  <mergeCells count="19">
    <mergeCell ref="B1:H1"/>
    <mergeCell ref="B2:H2"/>
    <mergeCell ref="A5:H5"/>
    <mergeCell ref="AA8:AH8"/>
    <mergeCell ref="AJ8:AQ8"/>
    <mergeCell ref="A4:H4"/>
    <mergeCell ref="A8:H8"/>
    <mergeCell ref="J8:Q8"/>
    <mergeCell ref="R8:Y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7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AS114"/>
  <sheetViews>
    <sheetView topLeftCell="P1" zoomScale="153" zoomScaleNormal="153" workbookViewId="0">
      <selection sqref="A1:XFD40"/>
    </sheetView>
  </sheetViews>
  <sheetFormatPr defaultRowHeight="13.2"/>
  <cols>
    <col min="1" max="1" width="14.88671875" customWidth="1"/>
    <col min="2" max="2" width="7.88671875" customWidth="1"/>
    <col min="3" max="3" width="7.5546875" customWidth="1"/>
    <col min="5" max="5" width="7" customWidth="1"/>
    <col min="6" max="6" width="6.5546875" customWidth="1"/>
    <col min="7" max="7" width="7.5546875" customWidth="1"/>
    <col min="8" max="8" width="6.33203125" customWidth="1"/>
    <col min="9" max="9" width="5" customWidth="1"/>
    <col min="10" max="10" width="14.88671875" customWidth="1"/>
    <col min="11" max="11" width="7" customWidth="1"/>
    <col min="12" max="12" width="8.109375" customWidth="1"/>
    <col min="14" max="14" width="5.88671875" customWidth="1"/>
    <col min="15" max="16" width="7" customWidth="1"/>
    <col min="17" max="17" width="6.5546875" customWidth="1"/>
    <col min="18" max="18" width="14.88671875" customWidth="1"/>
    <col min="19" max="19" width="9" customWidth="1"/>
    <col min="20" max="20" width="7.5546875" customWidth="1"/>
    <col min="21" max="21" width="8.109375" customWidth="1"/>
    <col min="22" max="22" width="7.109375" customWidth="1"/>
    <col min="23" max="23" width="7.33203125" customWidth="1"/>
    <col min="24" max="24" width="7.88671875" customWidth="1"/>
    <col min="25" max="25" width="7.109375" customWidth="1"/>
    <col min="26" max="26" width="6.33203125" customWidth="1"/>
    <col min="27" max="27" width="14" customWidth="1"/>
    <col min="28" max="28" width="7" customWidth="1"/>
    <col min="29" max="29" width="7.88671875" customWidth="1"/>
    <col min="31" max="31" width="6.6640625" customWidth="1"/>
    <col min="32" max="32" width="7.109375" customWidth="1"/>
    <col min="33" max="33" width="7.33203125" customWidth="1"/>
    <col min="34" max="34" width="7.109375" customWidth="1"/>
    <col min="36" max="36" width="10.109375" customWidth="1"/>
  </cols>
  <sheetData>
    <row r="1" spans="1:45" ht="15.6">
      <c r="A1" s="404"/>
      <c r="B1" s="479" t="s">
        <v>68</v>
      </c>
      <c r="C1" s="479"/>
      <c r="D1" s="479"/>
      <c r="E1" s="479"/>
      <c r="F1" s="479"/>
      <c r="G1" s="479"/>
      <c r="H1" s="479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6">
      <c r="A2" s="405"/>
      <c r="B2" s="480" t="s">
        <v>77</v>
      </c>
      <c r="C2" s="480"/>
      <c r="D2" s="480"/>
      <c r="E2" s="480"/>
      <c r="F2" s="480"/>
      <c r="G2" s="480"/>
      <c r="H2" s="480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6">
      <c r="A3" s="405"/>
      <c r="B3" s="405"/>
      <c r="C3" s="284"/>
      <c r="D3" s="407"/>
      <c r="E3" s="408"/>
      <c r="F3" s="408"/>
      <c r="G3" s="408"/>
      <c r="H3" s="408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30" customHeight="1">
      <c r="A4" s="482" t="s">
        <v>86</v>
      </c>
      <c r="B4" s="482"/>
      <c r="C4" s="482"/>
      <c r="D4" s="482"/>
      <c r="E4" s="482"/>
      <c r="F4" s="482"/>
      <c r="G4" s="482"/>
      <c r="H4" s="48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5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11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1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1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11"/>
      <c r="AS6" s="11"/>
    </row>
    <row r="7" spans="1:45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11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1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1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11"/>
      <c r="AS7" s="11"/>
    </row>
    <row r="8" spans="1:45">
      <c r="A8" s="473" t="s">
        <v>17</v>
      </c>
      <c r="B8" s="473"/>
      <c r="C8" s="473"/>
      <c r="D8" s="473"/>
      <c r="E8" s="473"/>
      <c r="F8" s="473"/>
      <c r="G8" s="473"/>
      <c r="H8" s="473"/>
      <c r="I8" s="115"/>
      <c r="J8" s="473" t="s">
        <v>17</v>
      </c>
      <c r="K8" s="473"/>
      <c r="L8" s="473"/>
      <c r="M8" s="473"/>
      <c r="N8" s="473"/>
      <c r="O8" s="473"/>
      <c r="P8" s="473"/>
      <c r="Q8" s="473"/>
      <c r="R8" s="473" t="s">
        <v>17</v>
      </c>
      <c r="S8" s="473"/>
      <c r="T8" s="473"/>
      <c r="U8" s="473"/>
      <c r="V8" s="473"/>
      <c r="W8" s="473"/>
      <c r="X8" s="473"/>
      <c r="Y8" s="473"/>
      <c r="Z8" s="115"/>
      <c r="AA8" s="473" t="s">
        <v>17</v>
      </c>
      <c r="AB8" s="473"/>
      <c r="AC8" s="473"/>
      <c r="AD8" s="473"/>
      <c r="AE8" s="473"/>
      <c r="AF8" s="473"/>
      <c r="AG8" s="473"/>
      <c r="AH8" s="473"/>
      <c r="AI8" s="115"/>
      <c r="AJ8" s="473" t="s">
        <v>17</v>
      </c>
      <c r="AK8" s="473"/>
      <c r="AL8" s="473"/>
      <c r="AM8" s="473"/>
      <c r="AN8" s="473"/>
      <c r="AO8" s="473"/>
      <c r="AP8" s="473"/>
      <c r="AQ8" s="473"/>
      <c r="AR8" s="115"/>
      <c r="AS8" s="115"/>
    </row>
    <row r="9" spans="1:45">
      <c r="A9" s="362" t="s">
        <v>18</v>
      </c>
      <c r="B9" s="362">
        <f>+B13+B20</f>
        <v>1219</v>
      </c>
      <c r="C9" s="362">
        <f t="shared" ref="C9:H10" si="0">+C13+C20</f>
        <v>72004</v>
      </c>
      <c r="D9" s="362">
        <f>SUM(E9:H9)</f>
        <v>54864</v>
      </c>
      <c r="E9" s="362">
        <f t="shared" si="0"/>
        <v>9579</v>
      </c>
      <c r="F9" s="362">
        <f t="shared" si="0"/>
        <v>11259</v>
      </c>
      <c r="G9" s="362">
        <f t="shared" si="0"/>
        <v>5706</v>
      </c>
      <c r="H9" s="362">
        <f t="shared" si="0"/>
        <v>28320</v>
      </c>
      <c r="I9" s="363"/>
      <c r="J9" s="362" t="s">
        <v>18</v>
      </c>
      <c r="K9" s="364">
        <f>+K13+K20</f>
        <v>574.29999999999995</v>
      </c>
      <c r="L9" s="362">
        <f t="shared" ref="L9:Q10" si="1">+L13+L20</f>
        <v>28270</v>
      </c>
      <c r="M9" s="365">
        <f>SUM(N9:Q9)</f>
        <v>19741</v>
      </c>
      <c r="N9" s="362">
        <f t="shared" si="1"/>
        <v>1935</v>
      </c>
      <c r="O9" s="362">
        <f t="shared" si="1"/>
        <v>6483</v>
      </c>
      <c r="P9" s="362">
        <f t="shared" si="1"/>
        <v>3569</v>
      </c>
      <c r="Q9" s="362">
        <f t="shared" si="1"/>
        <v>7754</v>
      </c>
      <c r="R9" s="362" t="s">
        <v>18</v>
      </c>
      <c r="S9" s="362">
        <f>+S13+S20</f>
        <v>561.40000000000009</v>
      </c>
      <c r="T9" s="362">
        <f t="shared" ref="T9:Y10" si="2">+T13+T20</f>
        <v>33738</v>
      </c>
      <c r="U9" s="362">
        <f>SUM(V9:Y9)</f>
        <v>29159</v>
      </c>
      <c r="V9" s="362">
        <f t="shared" si="2"/>
        <v>7319</v>
      </c>
      <c r="W9" s="362">
        <f t="shared" si="2"/>
        <v>3594</v>
      </c>
      <c r="X9" s="362">
        <f t="shared" si="2"/>
        <v>661</v>
      </c>
      <c r="Y9" s="362">
        <f t="shared" si="2"/>
        <v>17585</v>
      </c>
      <c r="Z9" s="363"/>
      <c r="AA9" s="362" t="s">
        <v>18</v>
      </c>
      <c r="AB9" s="362">
        <f>+AB13+AB20</f>
        <v>263.89999999999998</v>
      </c>
      <c r="AC9" s="362">
        <f t="shared" ref="AC9:AH10" si="3">+AC13+AC20</f>
        <v>20433</v>
      </c>
      <c r="AD9" s="362">
        <f>SUM(AE9:AH9)</f>
        <v>17365</v>
      </c>
      <c r="AE9" s="362">
        <f t="shared" si="3"/>
        <v>6930</v>
      </c>
      <c r="AF9" s="362">
        <f t="shared" si="3"/>
        <v>1462</v>
      </c>
      <c r="AG9" s="362">
        <f t="shared" si="3"/>
        <v>247</v>
      </c>
      <c r="AH9" s="362">
        <f t="shared" si="3"/>
        <v>8726</v>
      </c>
      <c r="AI9" s="363"/>
      <c r="AJ9" s="362" t="s">
        <v>18</v>
      </c>
      <c r="AK9" s="364">
        <f>+AK13+AK20</f>
        <v>83.300000000000011</v>
      </c>
      <c r="AL9" s="362">
        <f t="shared" ref="AL9:AQ10" si="4">+AL13+AL20</f>
        <v>9996</v>
      </c>
      <c r="AM9" s="362">
        <f>SUM(AN9:AQ9)</f>
        <v>5964</v>
      </c>
      <c r="AN9" s="362">
        <f t="shared" si="4"/>
        <v>325</v>
      </c>
      <c r="AO9" s="362">
        <f t="shared" si="4"/>
        <v>1182</v>
      </c>
      <c r="AP9" s="362">
        <f t="shared" si="4"/>
        <v>1476</v>
      </c>
      <c r="AQ9" s="362">
        <f t="shared" si="4"/>
        <v>2981</v>
      </c>
      <c r="AR9" s="115"/>
      <c r="AS9" s="115"/>
    </row>
    <row r="10" spans="1:45">
      <c r="A10" s="362" t="s">
        <v>19</v>
      </c>
      <c r="B10" s="364">
        <f>+B14+B21</f>
        <v>769.48</v>
      </c>
      <c r="C10" s="362">
        <f>+C14+C21</f>
        <v>50445</v>
      </c>
      <c r="D10" s="362">
        <f>SUM(E10:H10)</f>
        <v>43935</v>
      </c>
      <c r="E10" s="362">
        <f t="shared" si="0"/>
        <v>8871</v>
      </c>
      <c r="F10" s="362">
        <f t="shared" si="0"/>
        <v>5337</v>
      </c>
      <c r="G10" s="362">
        <f t="shared" si="0"/>
        <v>1152</v>
      </c>
      <c r="H10" s="362">
        <f t="shared" si="0"/>
        <v>28575</v>
      </c>
      <c r="I10" s="363"/>
      <c r="J10" s="362" t="s">
        <v>19</v>
      </c>
      <c r="K10" s="362">
        <f>+K14+K21</f>
        <v>364.29999999999995</v>
      </c>
      <c r="L10" s="362">
        <f t="shared" si="1"/>
        <v>24279</v>
      </c>
      <c r="M10" s="365">
        <f>SUM(N10:Q10)</f>
        <v>21135</v>
      </c>
      <c r="N10" s="362">
        <f t="shared" si="1"/>
        <v>3754</v>
      </c>
      <c r="O10" s="362">
        <f t="shared" si="1"/>
        <v>2905</v>
      </c>
      <c r="P10" s="362">
        <f t="shared" si="1"/>
        <v>596</v>
      </c>
      <c r="Q10" s="362">
        <f t="shared" si="1"/>
        <v>13880</v>
      </c>
      <c r="R10" s="362" t="s">
        <v>19</v>
      </c>
      <c r="S10" s="362">
        <f>+S14+S21</f>
        <v>396.2</v>
      </c>
      <c r="T10" s="362">
        <f t="shared" si="2"/>
        <v>25404</v>
      </c>
      <c r="U10" s="362">
        <f>SUM(V10:Y10)</f>
        <v>22139</v>
      </c>
      <c r="V10" s="362">
        <f t="shared" si="2"/>
        <v>4928</v>
      </c>
      <c r="W10" s="362">
        <f t="shared" si="2"/>
        <v>2362</v>
      </c>
      <c r="X10" s="362">
        <f t="shared" si="2"/>
        <v>540</v>
      </c>
      <c r="Y10" s="362">
        <f t="shared" si="2"/>
        <v>14309</v>
      </c>
      <c r="Z10" s="363"/>
      <c r="AA10" s="362" t="s">
        <v>19</v>
      </c>
      <c r="AB10" s="362">
        <f>+AB14+AB21</f>
        <v>152.30000000000001</v>
      </c>
      <c r="AC10" s="362">
        <f t="shared" si="3"/>
        <v>13344</v>
      </c>
      <c r="AD10" s="362">
        <f>SUM(AE10:AH10)</f>
        <v>11294</v>
      </c>
      <c r="AE10" s="362">
        <f t="shared" si="3"/>
        <v>4693</v>
      </c>
      <c r="AF10" s="362">
        <f t="shared" si="3"/>
        <v>1589</v>
      </c>
      <c r="AG10" s="362">
        <f t="shared" si="3"/>
        <v>193</v>
      </c>
      <c r="AH10" s="362">
        <f t="shared" si="3"/>
        <v>4819</v>
      </c>
      <c r="AI10" s="363"/>
      <c r="AJ10" s="362" t="s">
        <v>19</v>
      </c>
      <c r="AK10" s="362">
        <f>+AK14+AK21</f>
        <v>8.98</v>
      </c>
      <c r="AL10" s="362">
        <f t="shared" si="4"/>
        <v>762</v>
      </c>
      <c r="AM10" s="362">
        <f>SUM(AN10:AQ10)</f>
        <v>661</v>
      </c>
      <c r="AN10" s="362">
        <f t="shared" si="4"/>
        <v>189</v>
      </c>
      <c r="AO10" s="362">
        <f t="shared" si="4"/>
        <v>70</v>
      </c>
      <c r="AP10" s="362">
        <f t="shared" si="4"/>
        <v>16</v>
      </c>
      <c r="AQ10" s="362">
        <f t="shared" si="4"/>
        <v>386</v>
      </c>
      <c r="AR10" s="115"/>
      <c r="AS10" s="115"/>
    </row>
    <row r="11" spans="1:45">
      <c r="A11" s="362" t="s">
        <v>20</v>
      </c>
      <c r="B11" s="366">
        <f t="shared" ref="B11:H11" si="5">+B10/B9*100</f>
        <v>63.123872026251028</v>
      </c>
      <c r="C11" s="366">
        <f>+C10/C9*100</f>
        <v>70.058607855119163</v>
      </c>
      <c r="D11" s="366">
        <f t="shared" si="5"/>
        <v>80.079833770778649</v>
      </c>
      <c r="E11" s="366">
        <f t="shared" si="5"/>
        <v>92.608831819605385</v>
      </c>
      <c r="F11" s="366">
        <f t="shared" si="5"/>
        <v>47.402078337330131</v>
      </c>
      <c r="G11" s="366">
        <f t="shared" si="5"/>
        <v>20.189274447949526</v>
      </c>
      <c r="H11" s="366">
        <f t="shared" si="5"/>
        <v>100.90042372881356</v>
      </c>
      <c r="I11" s="363"/>
      <c r="J11" s="362" t="s">
        <v>20</v>
      </c>
      <c r="K11" s="366">
        <f t="shared" ref="K11:Q11" si="6">+K10/K9*100</f>
        <v>63.433745429218177</v>
      </c>
      <c r="L11" s="366">
        <f t="shared" si="6"/>
        <v>85.882561018747793</v>
      </c>
      <c r="M11" s="366">
        <f t="shared" si="6"/>
        <v>107.06144572210121</v>
      </c>
      <c r="N11" s="366">
        <f t="shared" si="6"/>
        <v>194.00516795865633</v>
      </c>
      <c r="O11" s="366">
        <f t="shared" si="6"/>
        <v>44.809501773870117</v>
      </c>
      <c r="P11" s="366">
        <f t="shared" si="6"/>
        <v>16.69935556178201</v>
      </c>
      <c r="Q11" s="366">
        <f t="shared" si="6"/>
        <v>179.00438483363425</v>
      </c>
      <c r="R11" s="362" t="s">
        <v>20</v>
      </c>
      <c r="S11" s="366">
        <f t="shared" ref="S11:Y11" si="7">+S10/S9*100</f>
        <v>70.573566084788013</v>
      </c>
      <c r="T11" s="366">
        <f t="shared" si="7"/>
        <v>75.297883691979379</v>
      </c>
      <c r="U11" s="366">
        <f t="shared" si="7"/>
        <v>75.925100312082023</v>
      </c>
      <c r="V11" s="366">
        <f t="shared" si="7"/>
        <v>67.33160267796147</v>
      </c>
      <c r="W11" s="366">
        <f t="shared" si="7"/>
        <v>65.720645520311621</v>
      </c>
      <c r="X11" s="366">
        <f t="shared" si="7"/>
        <v>81.694402420574889</v>
      </c>
      <c r="Y11" s="366">
        <f t="shared" si="7"/>
        <v>81.370486209837935</v>
      </c>
      <c r="Z11" s="363"/>
      <c r="AA11" s="362" t="s">
        <v>20</v>
      </c>
      <c r="AB11" s="366">
        <f t="shared" ref="AB11:AH11" si="8">+AB10/AB9*100</f>
        <v>57.711254262978407</v>
      </c>
      <c r="AC11" s="366">
        <f t="shared" si="8"/>
        <v>65.306122448979593</v>
      </c>
      <c r="AD11" s="366">
        <f t="shared" si="8"/>
        <v>65.038871292830407</v>
      </c>
      <c r="AE11" s="366">
        <f t="shared" si="8"/>
        <v>67.720057720057724</v>
      </c>
      <c r="AF11" s="366">
        <f t="shared" si="8"/>
        <v>108.68673050615595</v>
      </c>
      <c r="AG11" s="366">
        <f t="shared" si="8"/>
        <v>78.137651821862349</v>
      </c>
      <c r="AH11" s="366">
        <f t="shared" si="8"/>
        <v>55.225762090304833</v>
      </c>
      <c r="AI11" s="363"/>
      <c r="AJ11" s="362" t="s">
        <v>20</v>
      </c>
      <c r="AK11" s="366">
        <f>+AK10/AK9*100</f>
        <v>10.780312124849939</v>
      </c>
      <c r="AL11" s="366">
        <f t="shared" ref="AL11:AQ11" si="9">+AL10/AL9*100</f>
        <v>7.623049219687875</v>
      </c>
      <c r="AM11" s="366">
        <f t="shared" si="9"/>
        <v>11.083165660630449</v>
      </c>
      <c r="AN11" s="366">
        <f t="shared" si="9"/>
        <v>58.153846153846153</v>
      </c>
      <c r="AO11" s="366">
        <f t="shared" si="9"/>
        <v>5.9221658206429781</v>
      </c>
      <c r="AP11" s="366">
        <f t="shared" si="9"/>
        <v>1.084010840108401</v>
      </c>
      <c r="AQ11" s="366">
        <f t="shared" si="9"/>
        <v>12.948674941294868</v>
      </c>
      <c r="AR11" s="115"/>
      <c r="AS11" s="115"/>
    </row>
    <row r="12" spans="1:45">
      <c r="A12" s="510" t="s">
        <v>11</v>
      </c>
      <c r="B12" s="510"/>
      <c r="C12" s="510"/>
      <c r="D12" s="510"/>
      <c r="E12" s="510"/>
      <c r="F12" s="510"/>
      <c r="G12" s="510"/>
      <c r="H12" s="510"/>
      <c r="I12" s="367"/>
      <c r="J12" s="510" t="s">
        <v>11</v>
      </c>
      <c r="K12" s="510"/>
      <c r="L12" s="510"/>
      <c r="M12" s="510"/>
      <c r="N12" s="510"/>
      <c r="O12" s="510"/>
      <c r="P12" s="510"/>
      <c r="Q12" s="510"/>
      <c r="R12" s="510" t="s">
        <v>11</v>
      </c>
      <c r="S12" s="510"/>
      <c r="T12" s="510"/>
      <c r="U12" s="510"/>
      <c r="V12" s="510"/>
      <c r="W12" s="510"/>
      <c r="X12" s="510"/>
      <c r="Y12" s="510"/>
      <c r="Z12" s="367"/>
      <c r="AA12" s="510" t="s">
        <v>11</v>
      </c>
      <c r="AB12" s="510"/>
      <c r="AC12" s="510"/>
      <c r="AD12" s="510"/>
      <c r="AE12" s="510"/>
      <c r="AF12" s="510"/>
      <c r="AG12" s="510"/>
      <c r="AH12" s="510"/>
      <c r="AI12" s="367"/>
      <c r="AJ12" s="510" t="s">
        <v>11</v>
      </c>
      <c r="AK12" s="510"/>
      <c r="AL12" s="510"/>
      <c r="AM12" s="510"/>
      <c r="AN12" s="510"/>
      <c r="AO12" s="510"/>
      <c r="AP12" s="510"/>
      <c r="AQ12" s="510"/>
      <c r="AR12" s="203"/>
      <c r="AS12" s="203"/>
    </row>
    <row r="13" spans="1:45">
      <c r="A13" s="368" t="s">
        <v>18</v>
      </c>
      <c r="B13" s="369">
        <f>+K13+S13+AK13</f>
        <v>224.90000000000003</v>
      </c>
      <c r="C13" s="369">
        <f>+L13+T13+AL13</f>
        <v>22088</v>
      </c>
      <c r="D13" s="368">
        <f>SUM(E13:H13)</f>
        <v>14104</v>
      </c>
      <c r="E13" s="369">
        <f t="shared" ref="E13:H14" si="10">+N13+V13+AN13</f>
        <v>1893</v>
      </c>
      <c r="F13" s="369">
        <f t="shared" si="10"/>
        <v>5367</v>
      </c>
      <c r="G13" s="369">
        <f t="shared" si="10"/>
        <v>3381</v>
      </c>
      <c r="H13" s="369">
        <f t="shared" si="10"/>
        <v>3463</v>
      </c>
      <c r="I13" s="367"/>
      <c r="J13" s="368" t="s">
        <v>18</v>
      </c>
      <c r="K13" s="370">
        <f>[1]Rosica!K13+[1]Sevlievo!K13</f>
        <v>140.30000000000001</v>
      </c>
      <c r="L13" s="371">
        <f>[1]Rosica!L13+[1]Sevlievo!L13</f>
        <v>11738</v>
      </c>
      <c r="M13" s="371">
        <f>[1]Rosica!M13+[1]Sevlievo!M13</f>
        <v>7927</v>
      </c>
      <c r="N13" s="371">
        <f>[1]Rosica!N13+[1]Sevlievo!N13</f>
        <v>1201</v>
      </c>
      <c r="O13" s="371">
        <f>[1]Rosica!O13+[1]Sevlievo!O13</f>
        <v>3598</v>
      </c>
      <c r="P13" s="371">
        <f>[1]Rosica!P13+[1]Sevlievo!P13</f>
        <v>1981</v>
      </c>
      <c r="Q13" s="371">
        <f>[1]Rosica!Q13+[1]Sevlievo!Q13</f>
        <v>1147</v>
      </c>
      <c r="R13" s="368" t="s">
        <v>18</v>
      </c>
      <c r="S13" s="370">
        <f>[1]Rosica!S13+[1]Sevlievo!S13</f>
        <v>23.4</v>
      </c>
      <c r="T13" s="371">
        <f>[1]Rosica!T13+[1]Sevlievo!T13</f>
        <v>2162</v>
      </c>
      <c r="U13" s="371">
        <f>[1]Rosica!U13+[1]Sevlievo!U13</f>
        <v>1673</v>
      </c>
      <c r="V13" s="371">
        <f>[1]Rosica!V13+[1]Sevlievo!V13</f>
        <v>551</v>
      </c>
      <c r="W13" s="371">
        <f>[1]Rosica!W13+[1]Sevlievo!W13</f>
        <v>704</v>
      </c>
      <c r="X13" s="371">
        <f>[1]Rosica!X13+[1]Sevlievo!X13</f>
        <v>54</v>
      </c>
      <c r="Y13" s="371">
        <f>[1]Rosica!Y13+[1]Sevlievo!Y13</f>
        <v>364</v>
      </c>
      <c r="Z13" s="367"/>
      <c r="AA13" s="368" t="s">
        <v>18</v>
      </c>
      <c r="AB13" s="370">
        <f>[1]Rosica!AB13+[1]Sevlievo!AB13</f>
        <v>23.4</v>
      </c>
      <c r="AC13" s="371">
        <f>[1]Rosica!AC13+[1]Sevlievo!AC13</f>
        <v>2162</v>
      </c>
      <c r="AD13" s="371">
        <f>[1]Rosica!AD13+[1]Sevlievo!AD13</f>
        <v>1673</v>
      </c>
      <c r="AE13" s="371">
        <f>[1]Rosica!AE13+[1]Sevlievo!AE13</f>
        <v>551</v>
      </c>
      <c r="AF13" s="371">
        <f>[1]Rosica!AF13+[1]Sevlievo!AF13</f>
        <v>704</v>
      </c>
      <c r="AG13" s="371">
        <f>[1]Rosica!AG13+[1]Sevlievo!AG13</f>
        <v>54</v>
      </c>
      <c r="AH13" s="371">
        <f>[1]Rosica!AH13+[1]Sevlievo!AH13</f>
        <v>364</v>
      </c>
      <c r="AI13" s="367"/>
      <c r="AJ13" s="368" t="s">
        <v>18</v>
      </c>
      <c r="AK13" s="370">
        <f>[1]Rosica!AK13+[1]Sevlievo!AK13</f>
        <v>61.2</v>
      </c>
      <c r="AL13" s="371">
        <f>[1]Rosica!AL13+[1]Sevlievo!AL13</f>
        <v>8188</v>
      </c>
      <c r="AM13" s="371">
        <f>[1]Rosica!AM13+[1]Sevlievo!AM13</f>
        <v>4504</v>
      </c>
      <c r="AN13" s="371">
        <f>[1]Rosica!AN13+[1]Sevlievo!AN13</f>
        <v>141</v>
      </c>
      <c r="AO13" s="371">
        <f>[1]Rosica!AO13+[1]Sevlievo!AO13</f>
        <v>1065</v>
      </c>
      <c r="AP13" s="371">
        <f>[1]Rosica!AP13+[1]Sevlievo!AP13</f>
        <v>1346</v>
      </c>
      <c r="AQ13" s="371">
        <f>[1]Rosica!AQ13+[1]Sevlievo!AQ13</f>
        <v>1952</v>
      </c>
      <c r="AR13" s="203"/>
      <c r="AS13" s="203"/>
    </row>
    <row r="14" spans="1:45">
      <c r="A14" s="368" t="s">
        <v>19</v>
      </c>
      <c r="B14" s="369">
        <f>+K14+S14+AK14</f>
        <v>188.8</v>
      </c>
      <c r="C14" s="371">
        <f>+L14+T14+AL14</f>
        <v>17963</v>
      </c>
      <c r="D14" s="368">
        <f>SUM(E14:H14)</f>
        <v>14951</v>
      </c>
      <c r="E14" s="369">
        <f t="shared" si="10"/>
        <v>4549</v>
      </c>
      <c r="F14" s="369">
        <f t="shared" si="10"/>
        <v>3021</v>
      </c>
      <c r="G14" s="369">
        <f t="shared" si="10"/>
        <v>557</v>
      </c>
      <c r="H14" s="369">
        <f t="shared" si="10"/>
        <v>6824</v>
      </c>
      <c r="I14" s="367"/>
      <c r="J14" s="368" t="s">
        <v>19</v>
      </c>
      <c r="K14" s="370">
        <f>[1]Rosica!K14+[1]Sevlievo!K14</f>
        <v>131.4</v>
      </c>
      <c r="L14" s="371">
        <f>[1]Rosica!L14+[1]Sevlievo!L14</f>
        <v>13581</v>
      </c>
      <c r="M14" s="371">
        <f>SUM(N14:Q14)</f>
        <v>11394</v>
      </c>
      <c r="N14" s="371">
        <f>[1]Rosica!N14+[1]Sevlievo!N14</f>
        <v>3214</v>
      </c>
      <c r="O14" s="371">
        <f>[1]Rosica!O14+[1]Sevlievo!O14</f>
        <v>1996</v>
      </c>
      <c r="P14" s="371">
        <f>[1]Rosica!P14+[1]Sevlievo!P14</f>
        <v>407</v>
      </c>
      <c r="Q14" s="371">
        <f>[1]Rosica!Q14+[1]Sevlievo!Q14</f>
        <v>5777</v>
      </c>
      <c r="R14" s="368" t="s">
        <v>19</v>
      </c>
      <c r="S14" s="370">
        <f>[1]Rosica!S14+[1]Sevlievo!S14</f>
        <v>48.899999999999991</v>
      </c>
      <c r="T14" s="371">
        <f>[1]Rosica!T14+[1]Sevlievo!T14</f>
        <v>3830</v>
      </c>
      <c r="U14" s="371">
        <f>[1]Rosica!U14+[1]Sevlievo!U14</f>
        <v>3093</v>
      </c>
      <c r="V14" s="371">
        <f>[1]Rosica!V14+[1]Sevlievo!V14</f>
        <v>1150</v>
      </c>
      <c r="W14" s="371">
        <f>[1]Rosica!W14+[1]Sevlievo!W14</f>
        <v>955</v>
      </c>
      <c r="X14" s="371">
        <f>[1]Rosica!X14+[1]Sevlievo!X14</f>
        <v>136</v>
      </c>
      <c r="Y14" s="371">
        <f>[1]Rosica!Y14+[1]Sevlievo!Y14</f>
        <v>852</v>
      </c>
      <c r="Z14" s="367"/>
      <c r="AA14" s="368" t="s">
        <v>19</v>
      </c>
      <c r="AB14" s="370">
        <f>[1]Rosica!AB14+[1]Sevlievo!AB14</f>
        <v>48.900000000000006</v>
      </c>
      <c r="AC14" s="371">
        <f>[1]Rosica!AC14+[1]Sevlievo!AC14</f>
        <v>3830</v>
      </c>
      <c r="AD14" s="371">
        <f>[1]Rosica!AD14+[1]Sevlievo!AD14</f>
        <v>3093</v>
      </c>
      <c r="AE14" s="371">
        <f>[1]Rosica!AE14+[1]Sevlievo!AE14</f>
        <v>1150</v>
      </c>
      <c r="AF14" s="371">
        <f>[1]Rosica!AF14+[1]Sevlievo!AF14</f>
        <v>955</v>
      </c>
      <c r="AG14" s="371">
        <f>[1]Rosica!AG14+[1]Sevlievo!AG14</f>
        <v>136</v>
      </c>
      <c r="AH14" s="371">
        <f>[1]Rosica!AH14+[1]Sevlievo!AH14</f>
        <v>852</v>
      </c>
      <c r="AI14" s="367"/>
      <c r="AJ14" s="368" t="s">
        <v>19</v>
      </c>
      <c r="AK14" s="370">
        <f>[1]Rosica!AK14+[1]Sevlievo!AK14</f>
        <v>8.5</v>
      </c>
      <c r="AL14" s="371">
        <f>[1]Rosica!AL14+[1]Sevlievo!AL14</f>
        <v>552</v>
      </c>
      <c r="AM14" s="371">
        <f>[1]Rosica!AM14+[1]Sevlievo!AM14</f>
        <v>464</v>
      </c>
      <c r="AN14" s="371">
        <f>[1]Rosica!AN14+[1]Sevlievo!AN14</f>
        <v>185</v>
      </c>
      <c r="AO14" s="371">
        <f>[1]Rosica!AO14+[1]Sevlievo!AO14</f>
        <v>70</v>
      </c>
      <c r="AP14" s="371">
        <f>[1]Rosica!AP14+[1]Sevlievo!AP14</f>
        <v>14</v>
      </c>
      <c r="AQ14" s="371">
        <f>[1]Rosica!AQ14+[1]Sevlievo!AQ14</f>
        <v>195</v>
      </c>
      <c r="AR14" s="203"/>
      <c r="AS14" s="203"/>
    </row>
    <row r="15" spans="1:45">
      <c r="A15" s="368" t="s">
        <v>20</v>
      </c>
      <c r="B15" s="371">
        <f t="shared" ref="B15:H15" si="11">+B14/B13*100</f>
        <v>83.948421520675851</v>
      </c>
      <c r="C15" s="371">
        <f t="shared" si="11"/>
        <v>81.324701195219134</v>
      </c>
      <c r="D15" s="371">
        <f t="shared" si="11"/>
        <v>106.00538854225752</v>
      </c>
      <c r="E15" s="371">
        <f t="shared" si="11"/>
        <v>240.30639197041731</v>
      </c>
      <c r="F15" s="371">
        <f t="shared" si="11"/>
        <v>56.288429290106201</v>
      </c>
      <c r="G15" s="371">
        <f t="shared" si="11"/>
        <v>16.474415853297842</v>
      </c>
      <c r="H15" s="371">
        <f t="shared" si="11"/>
        <v>197.05457695639618</v>
      </c>
      <c r="I15" s="367"/>
      <c r="J15" s="368" t="s">
        <v>20</v>
      </c>
      <c r="K15" s="371">
        <f>+K14/K13*100</f>
        <v>93.656450463292941</v>
      </c>
      <c r="L15" s="371">
        <f t="shared" ref="L15:Q15" si="12">+L14/L13*100</f>
        <v>115.70114159141252</v>
      </c>
      <c r="M15" s="371">
        <f t="shared" si="12"/>
        <v>143.73659644253814</v>
      </c>
      <c r="N15" s="371">
        <f t="shared" si="12"/>
        <v>267.61032472939218</v>
      </c>
      <c r="O15" s="371">
        <f t="shared" si="12"/>
        <v>55.475264035575321</v>
      </c>
      <c r="P15" s="371">
        <f t="shared" si="12"/>
        <v>20.545179202423018</v>
      </c>
      <c r="Q15" s="371">
        <f t="shared" si="12"/>
        <v>503.66172624237146</v>
      </c>
      <c r="R15" s="368" t="s">
        <v>20</v>
      </c>
      <c r="S15" s="371">
        <f t="shared" ref="S15:Y15" si="13">+S14/S13*100</f>
        <v>208.97435897435895</v>
      </c>
      <c r="T15" s="371">
        <f t="shared" si="13"/>
        <v>177.15078630897315</v>
      </c>
      <c r="U15" s="371">
        <f t="shared" si="13"/>
        <v>184.87746563060369</v>
      </c>
      <c r="V15" s="371">
        <f t="shared" si="13"/>
        <v>208.7114337568058</v>
      </c>
      <c r="W15" s="371">
        <f t="shared" si="13"/>
        <v>135.65340909090909</v>
      </c>
      <c r="X15" s="371">
        <f t="shared" si="13"/>
        <v>251.85185185185185</v>
      </c>
      <c r="Y15" s="371">
        <f t="shared" si="13"/>
        <v>234.06593406593407</v>
      </c>
      <c r="Z15" s="367"/>
      <c r="AA15" s="368" t="s">
        <v>20</v>
      </c>
      <c r="AB15" s="371">
        <f t="shared" ref="AB15:AH15" si="14">+AB14/AB13*100</f>
        <v>208.97435897435903</v>
      </c>
      <c r="AC15" s="371">
        <f t="shared" si="14"/>
        <v>177.15078630897315</v>
      </c>
      <c r="AD15" s="371">
        <f t="shared" si="14"/>
        <v>184.87746563060369</v>
      </c>
      <c r="AE15" s="371">
        <f t="shared" si="14"/>
        <v>208.7114337568058</v>
      </c>
      <c r="AF15" s="371">
        <f t="shared" si="14"/>
        <v>135.65340909090909</v>
      </c>
      <c r="AG15" s="371">
        <f t="shared" si="14"/>
        <v>251.85185185185185</v>
      </c>
      <c r="AH15" s="371">
        <f t="shared" si="14"/>
        <v>234.06593406593407</v>
      </c>
      <c r="AI15" s="367"/>
      <c r="AJ15" s="368" t="s">
        <v>20</v>
      </c>
      <c r="AK15" s="371">
        <f t="shared" ref="AK15:AQ15" si="15">+AK14/AK13*100</f>
        <v>13.888888888888889</v>
      </c>
      <c r="AL15" s="371">
        <f t="shared" si="15"/>
        <v>6.7415730337078648</v>
      </c>
      <c r="AM15" s="371">
        <f t="shared" si="15"/>
        <v>10.301953818827709</v>
      </c>
      <c r="AN15" s="371">
        <f t="shared" si="15"/>
        <v>131.20567375886526</v>
      </c>
      <c r="AO15" s="371">
        <f t="shared" si="15"/>
        <v>6.5727699530516439</v>
      </c>
      <c r="AP15" s="371">
        <f t="shared" si="15"/>
        <v>1.0401188707280831</v>
      </c>
      <c r="AQ15" s="371">
        <f t="shared" si="15"/>
        <v>9.9897540983606561</v>
      </c>
      <c r="AR15" s="203"/>
      <c r="AS15" s="203"/>
    </row>
    <row r="16" spans="1:45">
      <c r="A16" s="369" t="s">
        <v>13</v>
      </c>
      <c r="B16" s="369">
        <f t="shared" ref="B16:C18" si="16">+K16+S16+AK16</f>
        <v>68.699999999999989</v>
      </c>
      <c r="C16" s="369">
        <f t="shared" si="16"/>
        <v>5075</v>
      </c>
      <c r="D16" s="368">
        <f>SUM(E16:H16)</f>
        <v>4375</v>
      </c>
      <c r="E16" s="369">
        <f t="shared" ref="E16:H18" si="17">+N16+V16+AN16</f>
        <v>2024</v>
      </c>
      <c r="F16" s="369">
        <f t="shared" si="17"/>
        <v>946</v>
      </c>
      <c r="G16" s="369">
        <f t="shared" si="17"/>
        <v>28</v>
      </c>
      <c r="H16" s="369">
        <f t="shared" si="17"/>
        <v>1377</v>
      </c>
      <c r="I16" s="367"/>
      <c r="J16" s="369" t="s">
        <v>13</v>
      </c>
      <c r="K16" s="370">
        <f>[1]Rosica!K16+[1]Sevlievo!K16</f>
        <v>60.699999999999996</v>
      </c>
      <c r="L16" s="371">
        <f>[1]Rosica!L16+[1]Sevlievo!L16</f>
        <v>4321</v>
      </c>
      <c r="M16" s="371">
        <f>[1]Rosica!M16+[1]Sevlievo!M16</f>
        <v>3732</v>
      </c>
      <c r="N16" s="371">
        <f>[1]Rosica!N16+[1]Sevlievo!N16</f>
        <v>1555</v>
      </c>
      <c r="O16" s="371">
        <f>[1]Rosica!O16+[1]Sevlievo!O16</f>
        <v>869</v>
      </c>
      <c r="P16" s="371">
        <f>[1]Rosica!P16+[1]Sevlievo!P16</f>
        <v>28</v>
      </c>
      <c r="Q16" s="371">
        <f>[1]Rosica!Q16+[1]Sevlievo!Q16</f>
        <v>1280</v>
      </c>
      <c r="R16" s="369" t="s">
        <v>13</v>
      </c>
      <c r="S16" s="370">
        <f>[1]Rosica!S16+[1]Sevlievo!S16</f>
        <v>7.5</v>
      </c>
      <c r="T16" s="371">
        <f>[1]Rosica!T16+[1]Sevlievo!T16</f>
        <v>725</v>
      </c>
      <c r="U16" s="371">
        <f>[1]Rosica!U16+[1]Sevlievo!U16</f>
        <v>621</v>
      </c>
      <c r="V16" s="371">
        <f>[1]Rosica!V16+[1]Sevlievo!V16</f>
        <v>457</v>
      </c>
      <c r="W16" s="371">
        <f>[1]Rosica!W16+[1]Sevlievo!W16</f>
        <v>73</v>
      </c>
      <c r="X16" s="371">
        <f>[1]Rosica!X16+[1]Sevlievo!X16</f>
        <v>0</v>
      </c>
      <c r="Y16" s="371">
        <f>[1]Rosica!Y16+[1]Sevlievo!Y16</f>
        <v>91</v>
      </c>
      <c r="Z16" s="367"/>
      <c r="AA16" s="369" t="s">
        <v>13</v>
      </c>
      <c r="AB16" s="370">
        <f>[1]Rosica!AB16+[1]Sevlievo!AB16</f>
        <v>7.5</v>
      </c>
      <c r="AC16" s="371">
        <f>[1]Rosica!AC16+[1]Sevlievo!AC16</f>
        <v>725</v>
      </c>
      <c r="AD16" s="371">
        <f>[1]Rosica!AD16+[1]Sevlievo!AD16</f>
        <v>621</v>
      </c>
      <c r="AE16" s="371">
        <f>[1]Rosica!AE16+[1]Sevlievo!AE16</f>
        <v>457</v>
      </c>
      <c r="AF16" s="371">
        <f>[1]Rosica!AF16+[1]Sevlievo!AF16</f>
        <v>73</v>
      </c>
      <c r="AG16" s="371">
        <f>[1]Rosica!AG16+[1]Sevlievo!AG16</f>
        <v>0</v>
      </c>
      <c r="AH16" s="371">
        <f>[1]Rosica!AH16+[1]Sevlievo!AH16</f>
        <v>91</v>
      </c>
      <c r="AI16" s="367"/>
      <c r="AJ16" s="369" t="s">
        <v>13</v>
      </c>
      <c r="AK16" s="370">
        <f>[1]Rosica!AK16+[1]Sevlievo!AK16</f>
        <v>0.5</v>
      </c>
      <c r="AL16" s="371">
        <f>[1]Rosica!AL16+[1]Sevlievo!AL16</f>
        <v>29</v>
      </c>
      <c r="AM16" s="371">
        <f>[1]Rosica!AM16+[1]Sevlievo!AM16</f>
        <v>24</v>
      </c>
      <c r="AN16" s="371">
        <f>[1]Rosica!AN16+[1]Sevlievo!AN16</f>
        <v>12</v>
      </c>
      <c r="AO16" s="371">
        <f>[1]Rosica!AO16+[1]Sevlievo!AO16</f>
        <v>4</v>
      </c>
      <c r="AP16" s="371">
        <f>[1]Rosica!AP16+[1]Sevlievo!AP16</f>
        <v>0</v>
      </c>
      <c r="AQ16" s="371">
        <f>[1]Rosica!AQ16+[1]Sevlievo!AQ16</f>
        <v>6</v>
      </c>
      <c r="AR16" s="203"/>
      <c r="AS16" s="203"/>
    </row>
    <row r="17" spans="1:45">
      <c r="A17" s="369" t="s">
        <v>14</v>
      </c>
      <c r="B17" s="369">
        <f t="shared" si="16"/>
        <v>14.5</v>
      </c>
      <c r="C17" s="369">
        <f t="shared" si="16"/>
        <v>2185</v>
      </c>
      <c r="D17" s="368">
        <f>SUM(E17:H17)</f>
        <v>1782</v>
      </c>
      <c r="E17" s="369">
        <f t="shared" si="17"/>
        <v>582</v>
      </c>
      <c r="F17" s="369">
        <f t="shared" si="17"/>
        <v>240</v>
      </c>
      <c r="G17" s="369">
        <f t="shared" si="17"/>
        <v>56</v>
      </c>
      <c r="H17" s="369">
        <f t="shared" si="17"/>
        <v>904</v>
      </c>
      <c r="I17" s="367"/>
      <c r="J17" s="369" t="s">
        <v>14</v>
      </c>
      <c r="K17" s="370">
        <f>[1]Rosica!K17+[1]Sevlievo!K17</f>
        <v>9.8000000000000007</v>
      </c>
      <c r="L17" s="371">
        <f>[1]Rosica!L17+[1]Sevlievo!L17</f>
        <v>1723</v>
      </c>
      <c r="M17" s="371">
        <f>[1]Rosica!M17+[1]Sevlievo!M17</f>
        <v>1393</v>
      </c>
      <c r="N17" s="371">
        <f>[1]Rosica!N17+[1]Sevlievo!N17</f>
        <v>431</v>
      </c>
      <c r="O17" s="371">
        <f>[1]Rosica!O17+[1]Sevlievo!O17</f>
        <v>181</v>
      </c>
      <c r="P17" s="371">
        <f>[1]Rosica!P17+[1]Sevlievo!P17</f>
        <v>42</v>
      </c>
      <c r="Q17" s="371">
        <f>[1]Rosica!Q17+[1]Sevlievo!Q17</f>
        <v>739</v>
      </c>
      <c r="R17" s="369" t="s">
        <v>14</v>
      </c>
      <c r="S17" s="370">
        <f>[1]Rosica!S17+[1]Sevlievo!S17</f>
        <v>0</v>
      </c>
      <c r="T17" s="371">
        <f>[1]Rosica!T17+[1]Sevlievo!T17</f>
        <v>0</v>
      </c>
      <c r="U17" s="371">
        <f>[1]Rosica!U17+[1]Sevlievo!U17</f>
        <v>0</v>
      </c>
      <c r="V17" s="371">
        <f>[1]Rosica!V17+[1]Sevlievo!V17</f>
        <v>0</v>
      </c>
      <c r="W17" s="371">
        <f>[1]Rosica!W17+[1]Sevlievo!W17</f>
        <v>0</v>
      </c>
      <c r="X17" s="371">
        <f>[1]Rosica!X17+[1]Sevlievo!X17</f>
        <v>0</v>
      </c>
      <c r="Y17" s="371">
        <f>[1]Rosica!Y17+[1]Sevlievo!Y17</f>
        <v>0</v>
      </c>
      <c r="Z17" s="367"/>
      <c r="AA17" s="369" t="s">
        <v>14</v>
      </c>
      <c r="AB17" s="370">
        <f>[1]Rosica!AB17+[1]Sevlievo!AB17</f>
        <v>0</v>
      </c>
      <c r="AC17" s="371">
        <f>[1]Rosica!AC17+[1]Sevlievo!AC17</f>
        <v>0</v>
      </c>
      <c r="AD17" s="371">
        <f>[1]Rosica!AD17+[1]Sevlievo!AD17</f>
        <v>0</v>
      </c>
      <c r="AE17" s="371">
        <f>[1]Rosica!AE17+[1]Sevlievo!AE17</f>
        <v>0</v>
      </c>
      <c r="AF17" s="371">
        <f>[1]Rosica!AF17+[1]Sevlievo!AF17</f>
        <v>0</v>
      </c>
      <c r="AG17" s="371">
        <f>[1]Rosica!AG17+[1]Sevlievo!AG17</f>
        <v>0</v>
      </c>
      <c r="AH17" s="371">
        <f>[1]Rosica!AH17+[1]Sevlievo!AH17</f>
        <v>0</v>
      </c>
      <c r="AI17" s="367"/>
      <c r="AJ17" s="369" t="s">
        <v>14</v>
      </c>
      <c r="AK17" s="370">
        <f>[1]Rosica!AK17+[1]Sevlievo!AK17</f>
        <v>4.7</v>
      </c>
      <c r="AL17" s="371">
        <f>[1]Rosica!AL17+[1]Sevlievo!AL17</f>
        <v>462</v>
      </c>
      <c r="AM17" s="371">
        <f>[1]Rosica!AM17+[1]Sevlievo!AM17</f>
        <v>389</v>
      </c>
      <c r="AN17" s="371">
        <f>[1]Rosica!AN17+[1]Sevlievo!AN17</f>
        <v>151</v>
      </c>
      <c r="AO17" s="371">
        <f>[1]Rosica!AO17+[1]Sevlievo!AO17</f>
        <v>59</v>
      </c>
      <c r="AP17" s="371">
        <f>[1]Rosica!AP17+[1]Sevlievo!AP17</f>
        <v>14</v>
      </c>
      <c r="AQ17" s="371">
        <f>[1]Rosica!AQ17+[1]Sevlievo!AQ17</f>
        <v>165</v>
      </c>
      <c r="AR17" s="203"/>
      <c r="AS17" s="203"/>
    </row>
    <row r="18" spans="1:45">
      <c r="A18" s="369" t="s">
        <v>15</v>
      </c>
      <c r="B18" s="369">
        <f t="shared" si="16"/>
        <v>0</v>
      </c>
      <c r="C18" s="369">
        <f t="shared" si="16"/>
        <v>7</v>
      </c>
      <c r="D18" s="368">
        <f>SUM(E18:H18)</f>
        <v>0</v>
      </c>
      <c r="E18" s="369">
        <f t="shared" si="17"/>
        <v>0</v>
      </c>
      <c r="F18" s="369">
        <f t="shared" si="17"/>
        <v>0</v>
      </c>
      <c r="G18" s="369">
        <f t="shared" si="17"/>
        <v>0</v>
      </c>
      <c r="H18" s="369">
        <f t="shared" si="17"/>
        <v>0</v>
      </c>
      <c r="I18" s="367"/>
      <c r="J18" s="369" t="s">
        <v>15</v>
      </c>
      <c r="K18" s="370">
        <f>[1]Rosica!K18+[1]Sevlievo!K18</f>
        <v>0</v>
      </c>
      <c r="L18" s="371">
        <f>[1]Rosica!L18+[1]Sevlievo!L18</f>
        <v>0</v>
      </c>
      <c r="M18" s="371">
        <f>[1]Rosica!M18+[1]Sevlievo!M18</f>
        <v>0</v>
      </c>
      <c r="N18" s="371">
        <f>[1]Rosica!N18+[1]Sevlievo!N18</f>
        <v>0</v>
      </c>
      <c r="O18" s="371">
        <f>[1]Rosica!O18+[1]Sevlievo!O18</f>
        <v>0</v>
      </c>
      <c r="P18" s="371">
        <f>[1]Rosica!P18+[1]Sevlievo!P18</f>
        <v>0</v>
      </c>
      <c r="Q18" s="371">
        <f>[1]Rosica!Q18+[1]Sevlievo!Q18</f>
        <v>0</v>
      </c>
      <c r="R18" s="369" t="s">
        <v>15</v>
      </c>
      <c r="S18" s="370">
        <f>[1]Rosica!S18+[1]Sevlievo!S18</f>
        <v>0</v>
      </c>
      <c r="T18" s="371">
        <f>[1]Rosica!T18+[1]Sevlievo!T18</f>
        <v>0</v>
      </c>
      <c r="U18" s="371">
        <f>[1]Rosica!U18+[1]Sevlievo!U18</f>
        <v>0</v>
      </c>
      <c r="V18" s="371">
        <f>[1]Rosica!V18+[1]Sevlievo!V18</f>
        <v>0</v>
      </c>
      <c r="W18" s="371">
        <f>[1]Rosica!W18+[1]Sevlievo!W18</f>
        <v>0</v>
      </c>
      <c r="X18" s="371">
        <f>[1]Rosica!X18+[1]Sevlievo!X18</f>
        <v>0</v>
      </c>
      <c r="Y18" s="371">
        <f>[1]Rosica!Y18+[1]Sevlievo!Y18</f>
        <v>0</v>
      </c>
      <c r="Z18" s="367"/>
      <c r="AA18" s="369" t="s">
        <v>15</v>
      </c>
      <c r="AB18" s="370">
        <f>[1]Rosica!AB18+[1]Sevlievo!AB18</f>
        <v>0</v>
      </c>
      <c r="AC18" s="371">
        <f>[1]Rosica!AC18+[1]Sevlievo!AC18</f>
        <v>0</v>
      </c>
      <c r="AD18" s="371">
        <f>[1]Rosica!AD18+[1]Sevlievo!AD18</f>
        <v>0</v>
      </c>
      <c r="AE18" s="371">
        <f>[1]Rosica!AE18+[1]Sevlievo!AE18</f>
        <v>0</v>
      </c>
      <c r="AF18" s="371">
        <f>[1]Rosica!AF18+[1]Sevlievo!AF18</f>
        <v>0</v>
      </c>
      <c r="AG18" s="371">
        <f>[1]Rosica!AG18+[1]Sevlievo!AG18</f>
        <v>0</v>
      </c>
      <c r="AH18" s="371">
        <f>[1]Rosica!AH18+[1]Sevlievo!AH18</f>
        <v>0</v>
      </c>
      <c r="AI18" s="367"/>
      <c r="AJ18" s="369" t="s">
        <v>15</v>
      </c>
      <c r="AK18" s="370">
        <f>[1]Rosica!AK18+[1]Sevlievo!AK18</f>
        <v>0</v>
      </c>
      <c r="AL18" s="371">
        <f>[1]Rosica!AL18+[1]Sevlievo!AL18</f>
        <v>7</v>
      </c>
      <c r="AM18" s="371">
        <f>[1]Rosica!AM18+[1]Sevlievo!AM18</f>
        <v>6</v>
      </c>
      <c r="AN18" s="371">
        <f>[1]Rosica!AN18+[1]Sevlievo!AN18</f>
        <v>0</v>
      </c>
      <c r="AO18" s="371">
        <f>[1]Rosica!AO18+[1]Sevlievo!AO18</f>
        <v>0</v>
      </c>
      <c r="AP18" s="371">
        <f>[1]Rosica!AP18+[1]Sevlievo!AP18</f>
        <v>0</v>
      </c>
      <c r="AQ18" s="371">
        <f>[1]Rosica!AQ18+[1]Sevlievo!AQ18</f>
        <v>0</v>
      </c>
    </row>
    <row r="19" spans="1:45">
      <c r="A19" s="510" t="s">
        <v>16</v>
      </c>
      <c r="B19" s="510"/>
      <c r="C19" s="510"/>
      <c r="D19" s="510"/>
      <c r="E19" s="510"/>
      <c r="F19" s="510"/>
      <c r="G19" s="510"/>
      <c r="H19" s="510"/>
      <c r="I19" s="367"/>
      <c r="J19" s="510" t="s">
        <v>16</v>
      </c>
      <c r="K19" s="510"/>
      <c r="L19" s="510"/>
      <c r="M19" s="510"/>
      <c r="N19" s="510"/>
      <c r="O19" s="510"/>
      <c r="P19" s="510"/>
      <c r="Q19" s="510"/>
      <c r="R19" s="510" t="s">
        <v>16</v>
      </c>
      <c r="S19" s="510"/>
      <c r="T19" s="510"/>
      <c r="U19" s="510"/>
      <c r="V19" s="510"/>
      <c r="W19" s="510"/>
      <c r="X19" s="510"/>
      <c r="Y19" s="510"/>
      <c r="Z19" s="367"/>
      <c r="AA19" s="510" t="s">
        <v>16</v>
      </c>
      <c r="AB19" s="510"/>
      <c r="AC19" s="510"/>
      <c r="AD19" s="510"/>
      <c r="AE19" s="510"/>
      <c r="AF19" s="510"/>
      <c r="AG19" s="510"/>
      <c r="AH19" s="510"/>
      <c r="AI19" s="367"/>
      <c r="AJ19" s="510" t="s">
        <v>16</v>
      </c>
      <c r="AK19" s="510"/>
      <c r="AL19" s="510"/>
      <c r="AM19" s="510"/>
      <c r="AN19" s="510"/>
      <c r="AO19" s="510"/>
      <c r="AP19" s="510"/>
      <c r="AQ19" s="510"/>
    </row>
    <row r="20" spans="1:45">
      <c r="A20" s="368" t="s">
        <v>18</v>
      </c>
      <c r="B20" s="369">
        <f>+B23+B26+B29+B32+B35+B38</f>
        <v>994.09999999999991</v>
      </c>
      <c r="C20" s="369">
        <f>+C23+C26+C29+C32+C35+C38</f>
        <v>49916</v>
      </c>
      <c r="D20" s="368">
        <f>SUM(E20:H20)</f>
        <v>40760</v>
      </c>
      <c r="E20" s="369">
        <f>+E23+E26+E29+E32+E35+E38</f>
        <v>7686</v>
      </c>
      <c r="F20" s="369">
        <f>+F23+F26+F29+F32+F35+F38</f>
        <v>5892</v>
      </c>
      <c r="G20" s="369">
        <f>+G23+G26+G29+G32+G35+G38</f>
        <v>2325</v>
      </c>
      <c r="H20" s="369">
        <f>+H23+H26+H29+H32+H35+H38</f>
        <v>24857</v>
      </c>
      <c r="I20" s="367"/>
      <c r="J20" s="368" t="s">
        <v>18</v>
      </c>
      <c r="K20" s="370">
        <f>+K23+K26+K29+K32+K35+K38</f>
        <v>434</v>
      </c>
      <c r="L20" s="371">
        <f>+L23+L26+L29+L32+L35+L38</f>
        <v>16532</v>
      </c>
      <c r="M20" s="368">
        <f>SUM(N20:Q20)</f>
        <v>11814</v>
      </c>
      <c r="N20" s="369">
        <f t="shared" ref="N20:Q21" si="18">+N23+N26+N29+N32+N35+N38</f>
        <v>734</v>
      </c>
      <c r="O20" s="369">
        <f t="shared" si="18"/>
        <v>2885</v>
      </c>
      <c r="P20" s="369">
        <f t="shared" si="18"/>
        <v>1588</v>
      </c>
      <c r="Q20" s="369">
        <f t="shared" si="18"/>
        <v>6607</v>
      </c>
      <c r="R20" s="368" t="s">
        <v>18</v>
      </c>
      <c r="S20" s="369">
        <f>+S23+S26+S29+S32+S35+S38</f>
        <v>538.00000000000011</v>
      </c>
      <c r="T20" s="369">
        <f>+T23+T26+T29+T32+T35+T38</f>
        <v>31576</v>
      </c>
      <c r="U20" s="368">
        <f>SUM(V20:Y20)</f>
        <v>27486</v>
      </c>
      <c r="V20" s="369">
        <f t="shared" ref="V20:Y21" si="19">+V23+V26+V29+V32+V35+V38</f>
        <v>6768</v>
      </c>
      <c r="W20" s="369">
        <f t="shared" si="19"/>
        <v>2890</v>
      </c>
      <c r="X20" s="369">
        <f t="shared" si="19"/>
        <v>607</v>
      </c>
      <c r="Y20" s="369">
        <f t="shared" si="19"/>
        <v>17221</v>
      </c>
      <c r="Z20" s="367"/>
      <c r="AA20" s="368" t="s">
        <v>18</v>
      </c>
      <c r="AB20" s="369">
        <f>+AB23+AB26+AB29+AB32+AB35+AB38</f>
        <v>240.5</v>
      </c>
      <c r="AC20" s="369">
        <f>+AC23+AC26+AC29+AC32+AC35+AC38</f>
        <v>18271</v>
      </c>
      <c r="AD20" s="368">
        <f>SUM(AE20:AH20)</f>
        <v>15692</v>
      </c>
      <c r="AE20" s="369">
        <f>+AE23+AE26+AE29+AE32+AE35+AE38</f>
        <v>6379</v>
      </c>
      <c r="AF20" s="369">
        <f>+AF23+AF26+AF29+AF32+AF35+AF38</f>
        <v>758</v>
      </c>
      <c r="AG20" s="369">
        <f>+AG23+AG26+AG29+AG32+AG35+AG38</f>
        <v>193</v>
      </c>
      <c r="AH20" s="369">
        <f>+AH23+AH26+AH29+AH32+AH35+AH38</f>
        <v>8362</v>
      </c>
      <c r="AI20" s="367"/>
      <c r="AJ20" s="368" t="s">
        <v>18</v>
      </c>
      <c r="AK20" s="369">
        <f>+AK23+AK26+AK29+AK32+AK35+AK38</f>
        <v>22.1</v>
      </c>
      <c r="AL20" s="369">
        <f>+AL23+AL26+AL29+AL32+AL35+AL38</f>
        <v>1808</v>
      </c>
      <c r="AM20" s="368">
        <f>SUM(AN20:AQ20)</f>
        <v>1460</v>
      </c>
      <c r="AN20" s="369">
        <f>+AN23+AN26+AN29+AN32+AN35+AN38</f>
        <v>184</v>
      </c>
      <c r="AO20" s="369">
        <f>+AO23+AO26+AO29+AO32+AO35+AO38</f>
        <v>117</v>
      </c>
      <c r="AP20" s="369">
        <f>+AP23+AP26+AP29+AP32+AP35+AP38</f>
        <v>130</v>
      </c>
      <c r="AQ20" s="369">
        <f>+AQ23+AQ26+AQ29+AQ32+AQ35+AQ38</f>
        <v>1029</v>
      </c>
    </row>
    <row r="21" spans="1:45">
      <c r="A21" s="368" t="s">
        <v>19</v>
      </c>
      <c r="B21" s="369">
        <f>+B24+B27+B30+B33+B36+B39</f>
        <v>580.67999999999995</v>
      </c>
      <c r="C21" s="369">
        <f t="shared" ref="C21:H21" si="20">+C24+C27+C30+C33+C36+C39</f>
        <v>32482</v>
      </c>
      <c r="D21" s="368">
        <f>SUM(E21:H21)</f>
        <v>28984</v>
      </c>
      <c r="E21" s="369">
        <f t="shared" si="20"/>
        <v>4322</v>
      </c>
      <c r="F21" s="369">
        <f t="shared" si="20"/>
        <v>2316</v>
      </c>
      <c r="G21" s="369">
        <f t="shared" si="20"/>
        <v>595</v>
      </c>
      <c r="H21" s="369">
        <f t="shared" si="20"/>
        <v>21751</v>
      </c>
      <c r="I21" s="367"/>
      <c r="J21" s="368" t="s">
        <v>19</v>
      </c>
      <c r="K21" s="369">
        <f>+K24+K27+K30+K33+K36+K39</f>
        <v>232.89999999999998</v>
      </c>
      <c r="L21" s="369">
        <f>+L24+L27+L30+L33+L36+L39</f>
        <v>10698</v>
      </c>
      <c r="M21" s="368">
        <f>SUM(N21:Q21)</f>
        <v>9741</v>
      </c>
      <c r="N21" s="369">
        <f t="shared" si="18"/>
        <v>540</v>
      </c>
      <c r="O21" s="369">
        <f t="shared" si="18"/>
        <v>909</v>
      </c>
      <c r="P21" s="369">
        <f t="shared" si="18"/>
        <v>189</v>
      </c>
      <c r="Q21" s="369">
        <f t="shared" si="18"/>
        <v>8103</v>
      </c>
      <c r="R21" s="368" t="s">
        <v>19</v>
      </c>
      <c r="S21" s="369">
        <f>+S24+S27+S30+S33+S36+S39</f>
        <v>347.3</v>
      </c>
      <c r="T21" s="369">
        <f>+T24+T27+T30+T33+T36+T39</f>
        <v>21574</v>
      </c>
      <c r="U21" s="368">
        <f>SUM(V21:Y21)</f>
        <v>19046</v>
      </c>
      <c r="V21" s="369">
        <f t="shared" si="19"/>
        <v>3778</v>
      </c>
      <c r="W21" s="369">
        <f t="shared" si="19"/>
        <v>1407</v>
      </c>
      <c r="X21" s="369">
        <f t="shared" si="19"/>
        <v>404</v>
      </c>
      <c r="Y21" s="369">
        <f t="shared" si="19"/>
        <v>13457</v>
      </c>
      <c r="Z21" s="367"/>
      <c r="AA21" s="368" t="s">
        <v>19</v>
      </c>
      <c r="AB21" s="369">
        <f t="shared" ref="AB21:AH21" si="21">+AB24+AB27+AB30+AB33+AB36+AB39</f>
        <v>103.4</v>
      </c>
      <c r="AC21" s="369">
        <f t="shared" si="21"/>
        <v>9514</v>
      </c>
      <c r="AD21" s="368">
        <f>SUM(AE21:AH21)</f>
        <v>8201</v>
      </c>
      <c r="AE21" s="369">
        <f t="shared" si="21"/>
        <v>3543</v>
      </c>
      <c r="AF21" s="369">
        <f t="shared" si="21"/>
        <v>634</v>
      </c>
      <c r="AG21" s="369">
        <f t="shared" si="21"/>
        <v>57</v>
      </c>
      <c r="AH21" s="369">
        <f t="shared" si="21"/>
        <v>3967</v>
      </c>
      <c r="AI21" s="367"/>
      <c r="AJ21" s="368" t="s">
        <v>19</v>
      </c>
      <c r="AK21" s="369">
        <f>+AK24+AK27+AK30+AK33+AK36+AK39</f>
        <v>0.48</v>
      </c>
      <c r="AL21" s="369">
        <f t="shared" ref="AL21:AQ21" si="22">+AL24+AL27+AL30+AL33+AL36+AL39</f>
        <v>210</v>
      </c>
      <c r="AM21" s="368">
        <f>SUM(AN21:AQ21)</f>
        <v>197</v>
      </c>
      <c r="AN21" s="369">
        <f t="shared" si="22"/>
        <v>4</v>
      </c>
      <c r="AO21" s="369">
        <f t="shared" si="22"/>
        <v>0</v>
      </c>
      <c r="AP21" s="369">
        <f t="shared" si="22"/>
        <v>2</v>
      </c>
      <c r="AQ21" s="369">
        <f t="shared" si="22"/>
        <v>191</v>
      </c>
      <c r="AR21" s="203"/>
      <c r="AS21" s="203"/>
    </row>
    <row r="22" spans="1:45">
      <c r="A22" s="368" t="s">
        <v>20</v>
      </c>
      <c r="B22" s="371">
        <f t="shared" ref="B22:H22" si="23">+B21/B20*100</f>
        <v>58.412634543808473</v>
      </c>
      <c r="C22" s="371">
        <f t="shared" si="23"/>
        <v>65.073323182947348</v>
      </c>
      <c r="D22" s="371">
        <f t="shared" si="23"/>
        <v>71.108930323846906</v>
      </c>
      <c r="E22" s="371">
        <f t="shared" si="23"/>
        <v>56.232110330470988</v>
      </c>
      <c r="F22" s="371">
        <f t="shared" si="23"/>
        <v>39.307535641547865</v>
      </c>
      <c r="G22" s="371">
        <f t="shared" si="23"/>
        <v>25.591397849462368</v>
      </c>
      <c r="H22" s="371">
        <f t="shared" si="23"/>
        <v>87.504525888079826</v>
      </c>
      <c r="I22" s="367"/>
      <c r="J22" s="368" t="s">
        <v>20</v>
      </c>
      <c r="K22" s="371">
        <f t="shared" ref="K22:Q22" si="24">+K21/K20*100</f>
        <v>53.663594470046085</v>
      </c>
      <c r="L22" s="371">
        <f t="shared" si="24"/>
        <v>64.710863779337046</v>
      </c>
      <c r="M22" s="371">
        <f t="shared" si="24"/>
        <v>82.453021838496696</v>
      </c>
      <c r="N22" s="371">
        <f t="shared" si="24"/>
        <v>73.56948228882834</v>
      </c>
      <c r="O22" s="371">
        <f t="shared" si="24"/>
        <v>31.507798960138651</v>
      </c>
      <c r="P22" s="371">
        <f t="shared" si="24"/>
        <v>11.901763224181359</v>
      </c>
      <c r="Q22" s="371">
        <f t="shared" si="24"/>
        <v>122.64265173301044</v>
      </c>
      <c r="R22" s="368" t="s">
        <v>20</v>
      </c>
      <c r="S22" s="371">
        <f t="shared" ref="S22:Y22" si="25">+S21/S20*100</f>
        <v>64.553903345724891</v>
      </c>
      <c r="T22" s="371">
        <f t="shared" si="25"/>
        <v>68.324043577400559</v>
      </c>
      <c r="U22" s="371">
        <f t="shared" si="25"/>
        <v>69.293458487957508</v>
      </c>
      <c r="V22" s="371">
        <f t="shared" si="25"/>
        <v>55.821513002364064</v>
      </c>
      <c r="W22" s="371">
        <f t="shared" si="25"/>
        <v>48.68512110726644</v>
      </c>
      <c r="X22" s="371">
        <f t="shared" si="25"/>
        <v>66.556836902800654</v>
      </c>
      <c r="Y22" s="371">
        <f t="shared" si="25"/>
        <v>78.142964984611808</v>
      </c>
      <c r="Z22" s="367"/>
      <c r="AA22" s="368" t="s">
        <v>20</v>
      </c>
      <c r="AB22" s="371">
        <f t="shared" ref="AB22:AH22" si="26">+AB21/AB20*100</f>
        <v>42.993762993762999</v>
      </c>
      <c r="AC22" s="371">
        <f t="shared" si="26"/>
        <v>52.071588856658089</v>
      </c>
      <c r="AD22" s="371">
        <f t="shared" si="26"/>
        <v>52.262299260769815</v>
      </c>
      <c r="AE22" s="371">
        <f t="shared" si="26"/>
        <v>55.541620943721583</v>
      </c>
      <c r="AF22" s="371">
        <f t="shared" si="26"/>
        <v>83.64116094986808</v>
      </c>
      <c r="AG22" s="371">
        <f t="shared" si="26"/>
        <v>29.533678756476682</v>
      </c>
      <c r="AH22" s="371">
        <f t="shared" si="26"/>
        <v>47.4408036354939</v>
      </c>
      <c r="AI22" s="367"/>
      <c r="AJ22" s="368" t="s">
        <v>20</v>
      </c>
      <c r="AK22" s="371">
        <f t="shared" ref="AK22:AQ22" si="27">+AK21/AK20*100</f>
        <v>2.1719457013574659</v>
      </c>
      <c r="AL22" s="371">
        <f t="shared" si="27"/>
        <v>11.61504424778761</v>
      </c>
      <c r="AM22" s="371">
        <f t="shared" si="27"/>
        <v>13.493150684931507</v>
      </c>
      <c r="AN22" s="371">
        <f t="shared" si="27"/>
        <v>2.1739130434782608</v>
      </c>
      <c r="AO22" s="371">
        <f t="shared" si="27"/>
        <v>0</v>
      </c>
      <c r="AP22" s="371">
        <f t="shared" si="27"/>
        <v>1.5384615384615385</v>
      </c>
      <c r="AQ22" s="371">
        <f t="shared" si="27"/>
        <v>18.56171039844509</v>
      </c>
    </row>
    <row r="23" spans="1:45">
      <c r="A23" s="369" t="s">
        <v>21</v>
      </c>
      <c r="B23" s="369">
        <f>+K23+S23+AK23</f>
        <v>539.19999999999993</v>
      </c>
      <c r="C23" s="369">
        <f>+L23+T23+AL23</f>
        <v>30524</v>
      </c>
      <c r="D23" s="368">
        <f>SUM(E23:H23)</f>
        <v>23988</v>
      </c>
      <c r="E23" s="369">
        <f t="shared" ref="E23:H24" si="28">+N23+V23+AN23</f>
        <v>6844</v>
      </c>
      <c r="F23" s="369">
        <f t="shared" si="28"/>
        <v>2781</v>
      </c>
      <c r="G23" s="369">
        <f t="shared" si="28"/>
        <v>1469</v>
      </c>
      <c r="H23" s="369">
        <f t="shared" si="28"/>
        <v>12894</v>
      </c>
      <c r="I23" s="367"/>
      <c r="J23" s="369" t="s">
        <v>21</v>
      </c>
      <c r="K23" s="370">
        <f>[1]Rosica!K23+[1]Sevlievo!K23</f>
        <v>288.2</v>
      </c>
      <c r="L23" s="371">
        <f>[1]Rosica!L23+[1]Sevlievo!L23</f>
        <v>11383</v>
      </c>
      <c r="M23" s="371">
        <f>[1]Rosica!M23+[1]Sevlievo!M23</f>
        <v>7659</v>
      </c>
      <c r="N23" s="371">
        <f>[1]Rosica!N23+[1]Sevlievo!N23</f>
        <v>564</v>
      </c>
      <c r="O23" s="371">
        <f>[1]Rosica!O23+[1]Sevlievo!O23</f>
        <v>1939</v>
      </c>
      <c r="P23" s="371">
        <f>[1]Rosica!P23+[1]Sevlievo!P23</f>
        <v>1177</v>
      </c>
      <c r="Q23" s="371">
        <f>[1]Rosica!Q23+[1]Sevlievo!Q23</f>
        <v>3979</v>
      </c>
      <c r="R23" s="369" t="s">
        <v>21</v>
      </c>
      <c r="S23" s="370">
        <f>[1]Rosica!S23+[1]Sevlievo!S23</f>
        <v>236.70000000000002</v>
      </c>
      <c r="T23" s="371">
        <f>[1]Rosica!T23+[1]Sevlievo!T23</f>
        <v>17537</v>
      </c>
      <c r="U23" s="371">
        <f>[1]Rosica!U23+[1]Sevlievo!U23</f>
        <v>15072</v>
      </c>
      <c r="V23" s="371">
        <f>[1]Rosica!V23+[1]Sevlievo!V23</f>
        <v>6096</v>
      </c>
      <c r="W23" s="371">
        <f>[1]Rosica!W23+[1]Sevlievo!W23</f>
        <v>740</v>
      </c>
      <c r="X23" s="371">
        <f>[1]Rosica!X23+[1]Sevlievo!X23</f>
        <v>178</v>
      </c>
      <c r="Y23" s="371">
        <f>[1]Rosica!Y23+[1]Sevlievo!Y23</f>
        <v>8058</v>
      </c>
      <c r="Z23" s="367"/>
      <c r="AA23" s="369" t="s">
        <v>21</v>
      </c>
      <c r="AB23" s="370">
        <f>[1]Rosica!AB23+[1]Sevlievo!AB23</f>
        <v>232.3</v>
      </c>
      <c r="AC23" s="371">
        <f>[1]Rosica!AC23+[1]Sevlievo!AC23</f>
        <v>17310</v>
      </c>
      <c r="AD23" s="371">
        <f>[1]Rosica!AD23+[1]Sevlievo!AD23</f>
        <v>14888</v>
      </c>
      <c r="AE23" s="371">
        <f>[1]Rosica!AE23+[1]Sevlievo!AE23</f>
        <v>6085</v>
      </c>
      <c r="AF23" s="371">
        <f>[1]Rosica!AF23+[1]Sevlievo!AF23</f>
        <v>692</v>
      </c>
      <c r="AG23" s="371">
        <f>[1]Rosica!AG23+[1]Sevlievo!AG23</f>
        <v>172</v>
      </c>
      <c r="AH23" s="371">
        <f>[1]Rosica!AH23+[1]Sevlievo!AH23</f>
        <v>7939</v>
      </c>
      <c r="AI23" s="367"/>
      <c r="AJ23" s="369" t="s">
        <v>21</v>
      </c>
      <c r="AK23" s="370">
        <f>[1]Rosica!AK23+[1]Sevlievo!AK23</f>
        <v>14.3</v>
      </c>
      <c r="AL23" s="371">
        <f>[1]Rosica!AL23+[1]Sevlievo!AL23</f>
        <v>1604</v>
      </c>
      <c r="AM23" s="371">
        <f>[1]Rosica!AM23+[1]Sevlievo!AM23</f>
        <v>1257</v>
      </c>
      <c r="AN23" s="371">
        <f>[1]Rosica!AN23+[1]Sevlievo!AN23</f>
        <v>184</v>
      </c>
      <c r="AO23" s="371">
        <f>[1]Rosica!AO23+[1]Sevlievo!AO23</f>
        <v>102</v>
      </c>
      <c r="AP23" s="371">
        <f>[1]Rosica!AP23+[1]Sevlievo!AP23</f>
        <v>114</v>
      </c>
      <c r="AQ23" s="371">
        <f>[1]Rosica!AQ23+[1]Sevlievo!AQ23</f>
        <v>857</v>
      </c>
    </row>
    <row r="24" spans="1:45">
      <c r="A24" s="369" t="s">
        <v>22</v>
      </c>
      <c r="B24" s="369">
        <f>+K24+S24+AK24</f>
        <v>232.88</v>
      </c>
      <c r="C24" s="369">
        <f>+L24+T24+AL24</f>
        <v>16203</v>
      </c>
      <c r="D24" s="368">
        <f>SUM(E24:H24)</f>
        <v>14186</v>
      </c>
      <c r="E24" s="369">
        <f t="shared" si="28"/>
        <v>4003</v>
      </c>
      <c r="F24" s="369">
        <f t="shared" si="28"/>
        <v>1365</v>
      </c>
      <c r="G24" s="369">
        <f t="shared" si="28"/>
        <v>227</v>
      </c>
      <c r="H24" s="369">
        <f t="shared" si="28"/>
        <v>8591</v>
      </c>
      <c r="I24" s="367"/>
      <c r="J24" s="369" t="s">
        <v>22</v>
      </c>
      <c r="K24" s="370">
        <f>[1]Rosica!K24+[1]Sevlievo!K24</f>
        <v>129</v>
      </c>
      <c r="L24" s="371">
        <f>[1]Rosica!L24+[1]Sevlievo!L24</f>
        <v>6410</v>
      </c>
      <c r="M24" s="371">
        <f>[1]Rosica!M24+[1]Sevlievo!M24</f>
        <v>5731</v>
      </c>
      <c r="N24" s="371">
        <f>[1]Rosica!N24+[1]Sevlievo!N24</f>
        <v>460</v>
      </c>
      <c r="O24" s="371">
        <f>[1]Rosica!O24+[1]Sevlievo!O24</f>
        <v>731</v>
      </c>
      <c r="P24" s="371">
        <f>[1]Rosica!P24+[1]Sevlievo!P24</f>
        <v>168</v>
      </c>
      <c r="Q24" s="371">
        <f>[1]Rosica!Q24+[1]Sevlievo!Q24</f>
        <v>4372</v>
      </c>
      <c r="R24" s="369" t="s">
        <v>22</v>
      </c>
      <c r="S24" s="370">
        <f>[1]Rosica!S24+[1]Sevlievo!S24</f>
        <v>103.4</v>
      </c>
      <c r="T24" s="371">
        <f>[1]Rosica!T24+[1]Sevlievo!T24</f>
        <v>9592</v>
      </c>
      <c r="U24" s="371">
        <f>[1]Rosica!U24+[1]Sevlievo!U24</f>
        <v>8267</v>
      </c>
      <c r="V24" s="371">
        <f>[1]Rosica!V24+[1]Sevlievo!V24</f>
        <v>3543</v>
      </c>
      <c r="W24" s="371">
        <f>[1]Rosica!W24+[1]Sevlievo!W24</f>
        <v>634</v>
      </c>
      <c r="X24" s="371">
        <f>[1]Rosica!X24+[1]Sevlievo!X24</f>
        <v>57</v>
      </c>
      <c r="Y24" s="371">
        <f>[1]Rosica!Y24+[1]Sevlievo!Y24</f>
        <v>4033</v>
      </c>
      <c r="Z24" s="367"/>
      <c r="AA24" s="369" t="s">
        <v>22</v>
      </c>
      <c r="AB24" s="370">
        <f>[1]Rosica!AB24+[1]Sevlievo!AB24</f>
        <v>103.4</v>
      </c>
      <c r="AC24" s="371">
        <f>[1]Rosica!AC24+[1]Sevlievo!AC24</f>
        <v>9514</v>
      </c>
      <c r="AD24" s="371">
        <f>[1]Rosica!AD24+[1]Sevlievo!AD24</f>
        <v>8201</v>
      </c>
      <c r="AE24" s="371">
        <f>[1]Rosica!AE24+[1]Sevlievo!AE24</f>
        <v>3543</v>
      </c>
      <c r="AF24" s="371">
        <f>[1]Rosica!AF24+[1]Sevlievo!AF24</f>
        <v>634</v>
      </c>
      <c r="AG24" s="371">
        <f>[1]Rosica!AG24+[1]Sevlievo!AG24</f>
        <v>57</v>
      </c>
      <c r="AH24" s="371">
        <f>[1]Rosica!AH24+[1]Sevlievo!AH24</f>
        <v>3967</v>
      </c>
      <c r="AI24" s="367"/>
      <c r="AJ24" s="369" t="s">
        <v>22</v>
      </c>
      <c r="AK24" s="370">
        <f>[1]Rosica!AK24+[1]Sevlievo!AK24</f>
        <v>0.48</v>
      </c>
      <c r="AL24" s="371">
        <f>[1]Rosica!AL24+[1]Sevlievo!AL24</f>
        <v>201</v>
      </c>
      <c r="AM24" s="371">
        <f>[1]Rosica!AM24+[1]Sevlievo!AM24</f>
        <v>188</v>
      </c>
      <c r="AN24" s="371">
        <f>[1]Rosica!AN24+[1]Sevlievo!AN24</f>
        <v>0</v>
      </c>
      <c r="AO24" s="371">
        <f>[1]Rosica!AO24+[1]Sevlievo!AO24</f>
        <v>0</v>
      </c>
      <c r="AP24" s="371">
        <f>[1]Rosica!AP24+[1]Sevlievo!AP24</f>
        <v>2</v>
      </c>
      <c r="AQ24" s="371">
        <f>[1]Rosica!AQ24+[1]Sevlievo!AQ24</f>
        <v>186</v>
      </c>
    </row>
    <row r="25" spans="1:45">
      <c r="A25" s="369" t="s">
        <v>12</v>
      </c>
      <c r="B25" s="371">
        <f t="shared" ref="B25:H25" si="29">+B24/B23*100</f>
        <v>43.189910979228493</v>
      </c>
      <c r="C25" s="371">
        <f t="shared" si="29"/>
        <v>53.082820076005767</v>
      </c>
      <c r="D25" s="371">
        <f t="shared" si="29"/>
        <v>59.137902284475572</v>
      </c>
      <c r="E25" s="371">
        <f t="shared" si="29"/>
        <v>58.489187609585038</v>
      </c>
      <c r="F25" s="371">
        <f t="shared" si="29"/>
        <v>49.083063646170444</v>
      </c>
      <c r="G25" s="371">
        <f t="shared" si="29"/>
        <v>15.452688904016338</v>
      </c>
      <c r="H25" s="371">
        <f t="shared" si="29"/>
        <v>66.627888940592527</v>
      </c>
      <c r="I25" s="367"/>
      <c r="J25" s="369" t="s">
        <v>12</v>
      </c>
      <c r="K25" s="371">
        <f t="shared" ref="K25:Q25" si="30">+K24/K23*100</f>
        <v>44.760582928521863</v>
      </c>
      <c r="L25" s="371">
        <f t="shared" si="30"/>
        <v>56.312044276552754</v>
      </c>
      <c r="M25" s="371">
        <f t="shared" si="30"/>
        <v>74.827000913957434</v>
      </c>
      <c r="N25" s="371">
        <f t="shared" si="30"/>
        <v>81.560283687943254</v>
      </c>
      <c r="O25" s="371">
        <f t="shared" si="30"/>
        <v>37.699845281072719</v>
      </c>
      <c r="P25" s="371">
        <f t="shared" si="30"/>
        <v>14.273576890399319</v>
      </c>
      <c r="Q25" s="371">
        <f t="shared" si="30"/>
        <v>109.87685348077407</v>
      </c>
      <c r="R25" s="369" t="s">
        <v>12</v>
      </c>
      <c r="S25" s="371">
        <f t="shared" ref="S25:Y25" si="31">+S24/S23*100</f>
        <v>43.68398817068018</v>
      </c>
      <c r="T25" s="371">
        <f t="shared" si="31"/>
        <v>54.695786052346463</v>
      </c>
      <c r="U25" s="371">
        <f t="shared" si="31"/>
        <v>54.850053078556257</v>
      </c>
      <c r="V25" s="371">
        <f t="shared" si="31"/>
        <v>58.120078740157474</v>
      </c>
      <c r="W25" s="371">
        <f t="shared" si="31"/>
        <v>85.675675675675677</v>
      </c>
      <c r="X25" s="371">
        <f t="shared" si="31"/>
        <v>32.022471910112358</v>
      </c>
      <c r="Y25" s="371">
        <f t="shared" si="31"/>
        <v>50.049640109208241</v>
      </c>
      <c r="Z25" s="367"/>
      <c r="AA25" s="369" t="s">
        <v>12</v>
      </c>
      <c r="AB25" s="371">
        <f t="shared" ref="AB25:AH25" si="32">+AB24/AB23*100</f>
        <v>44.511407662505384</v>
      </c>
      <c r="AC25" s="371">
        <f t="shared" si="32"/>
        <v>54.962449451184291</v>
      </c>
      <c r="AD25" s="371">
        <f t="shared" si="32"/>
        <v>55.084631918323481</v>
      </c>
      <c r="AE25" s="371">
        <f t="shared" si="32"/>
        <v>58.225143796220216</v>
      </c>
      <c r="AF25" s="371">
        <f t="shared" si="32"/>
        <v>91.618497109826592</v>
      </c>
      <c r="AG25" s="371">
        <f t="shared" si="32"/>
        <v>33.139534883720927</v>
      </c>
      <c r="AH25" s="371">
        <f t="shared" si="32"/>
        <v>49.968509887895202</v>
      </c>
      <c r="AI25" s="367"/>
      <c r="AJ25" s="369" t="s">
        <v>12</v>
      </c>
      <c r="AK25" s="371">
        <f t="shared" ref="AK25:AQ25" si="33">+AK24/AK23*100</f>
        <v>3.3566433566433567</v>
      </c>
      <c r="AL25" s="371">
        <f t="shared" si="33"/>
        <v>12.531172069825436</v>
      </c>
      <c r="AM25" s="371">
        <f t="shared" si="33"/>
        <v>14.956245027844073</v>
      </c>
      <c r="AN25" s="371">
        <f t="shared" si="33"/>
        <v>0</v>
      </c>
      <c r="AO25" s="371">
        <f t="shared" si="33"/>
        <v>0</v>
      </c>
      <c r="AP25" s="371">
        <f t="shared" si="33"/>
        <v>1.7543859649122806</v>
      </c>
      <c r="AQ25" s="371">
        <f t="shared" si="33"/>
        <v>21.703617269544925</v>
      </c>
    </row>
    <row r="26" spans="1:45">
      <c r="A26" s="369" t="s">
        <v>23</v>
      </c>
      <c r="B26" s="369">
        <f>+K26+S26+AK26</f>
        <v>72.8</v>
      </c>
      <c r="C26" s="369">
        <f>+L26+T26+AL26</f>
        <v>1979</v>
      </c>
      <c r="D26" s="368">
        <f>SUM(E26:H26)</f>
        <v>1738</v>
      </c>
      <c r="E26" s="369">
        <f t="shared" ref="E26:H27" si="34">+N26+V26+AN26</f>
        <v>16</v>
      </c>
      <c r="F26" s="369">
        <f t="shared" si="34"/>
        <v>382</v>
      </c>
      <c r="G26" s="369">
        <f t="shared" si="34"/>
        <v>95</v>
      </c>
      <c r="H26" s="369">
        <f t="shared" si="34"/>
        <v>1245</v>
      </c>
      <c r="I26" s="367"/>
      <c r="J26" s="369" t="s">
        <v>23</v>
      </c>
      <c r="K26" s="370">
        <f>[1]Rosica!K26+[1]Sevlievo!K26</f>
        <v>30.200000000000003</v>
      </c>
      <c r="L26" s="371">
        <f>[1]Rosica!L26+[1]Sevlievo!L26</f>
        <v>650</v>
      </c>
      <c r="M26" s="371">
        <f>[1]Rosica!M26+[1]Sevlievo!M26</f>
        <v>545</v>
      </c>
      <c r="N26" s="371">
        <f>[1]Rosica!N26+[1]Sevlievo!N26</f>
        <v>1</v>
      </c>
      <c r="O26" s="371">
        <f>[1]Rosica!O26+[1]Sevlievo!O26</f>
        <v>125</v>
      </c>
      <c r="P26" s="371">
        <f>[1]Rosica!P26+[1]Sevlievo!P26</f>
        <v>55</v>
      </c>
      <c r="Q26" s="371">
        <f>[1]Rosica!Q26+[1]Sevlievo!Q26</f>
        <v>364</v>
      </c>
      <c r="R26" s="369" t="s">
        <v>23</v>
      </c>
      <c r="S26" s="370">
        <f>[1]Rosica!S26+[1]Sevlievo!S26</f>
        <v>42</v>
      </c>
      <c r="T26" s="371">
        <f>[1]Rosica!T26+[1]Sevlievo!T26</f>
        <v>1314</v>
      </c>
      <c r="U26" s="371">
        <f>[1]Rosica!U26+[1]Sevlievo!U26</f>
        <v>1181</v>
      </c>
      <c r="V26" s="371">
        <f>[1]Rosica!V26+[1]Sevlievo!V26</f>
        <v>15</v>
      </c>
      <c r="W26" s="371">
        <f>[1]Rosica!W26+[1]Sevlievo!W26</f>
        <v>255</v>
      </c>
      <c r="X26" s="371">
        <f>[1]Rosica!X26+[1]Sevlievo!X26</f>
        <v>40</v>
      </c>
      <c r="Y26" s="371">
        <f>[1]Rosica!Y26+[1]Sevlievo!Y26</f>
        <v>871</v>
      </c>
      <c r="Z26" s="367"/>
      <c r="AA26" s="369" t="s">
        <v>23</v>
      </c>
      <c r="AB26" s="370">
        <f>[1]Rosica!AB26+[1]Sevlievo!AB26</f>
        <v>0</v>
      </c>
      <c r="AC26" s="371">
        <f>[1]Rosica!AC26+[1]Sevlievo!AC26</f>
        <v>30</v>
      </c>
      <c r="AD26" s="371">
        <f>[1]Rosica!AD26+[1]Sevlievo!AD26</f>
        <v>26</v>
      </c>
      <c r="AE26" s="371">
        <f>[1]Rosica!AE26+[1]Sevlievo!AE26</f>
        <v>9</v>
      </c>
      <c r="AF26" s="371">
        <f>[1]Rosica!AF26+[1]Sevlievo!AF26</f>
        <v>3</v>
      </c>
      <c r="AG26" s="371">
        <f>[1]Rosica!AG26+[1]Sevlievo!AG26</f>
        <v>2</v>
      </c>
      <c r="AH26" s="371">
        <f>[1]Rosica!AH26+[1]Sevlievo!AH26</f>
        <v>12</v>
      </c>
      <c r="AI26" s="367"/>
      <c r="AJ26" s="369" t="s">
        <v>23</v>
      </c>
      <c r="AK26" s="370">
        <f>[1]Rosica!AK26+[1]Sevlievo!AK26</f>
        <v>0.6</v>
      </c>
      <c r="AL26" s="371">
        <f>[1]Rosica!AL26+[1]Sevlievo!AL26</f>
        <v>15</v>
      </c>
      <c r="AM26" s="371">
        <f>[1]Rosica!AM26+[1]Sevlievo!AM26</f>
        <v>12</v>
      </c>
      <c r="AN26" s="371">
        <f>[1]Rosica!AN26+[1]Sevlievo!AN26</f>
        <v>0</v>
      </c>
      <c r="AO26" s="371">
        <f>[1]Rosica!AO26+[1]Sevlievo!AO26</f>
        <v>2</v>
      </c>
      <c r="AP26" s="371">
        <f>[1]Rosica!AP26+[1]Sevlievo!AP26</f>
        <v>0</v>
      </c>
      <c r="AQ26" s="371">
        <f>[1]Rosica!AQ26+[1]Sevlievo!AQ26</f>
        <v>10</v>
      </c>
      <c r="AS26" s="180"/>
    </row>
    <row r="27" spans="1:45">
      <c r="A27" s="369" t="s">
        <v>24</v>
      </c>
      <c r="B27" s="369">
        <f>+K27+S27+AK27</f>
        <v>6.8999999999999995</v>
      </c>
      <c r="C27" s="369">
        <f>+L27+T27+AL27</f>
        <v>963</v>
      </c>
      <c r="D27" s="368">
        <f>SUM(E27:H27)</f>
        <v>869</v>
      </c>
      <c r="E27" s="369">
        <f t="shared" si="34"/>
        <v>148</v>
      </c>
      <c r="F27" s="369">
        <f t="shared" si="34"/>
        <v>20</v>
      </c>
      <c r="G27" s="369">
        <f t="shared" si="34"/>
        <v>0</v>
      </c>
      <c r="H27" s="369">
        <f t="shared" si="34"/>
        <v>701</v>
      </c>
      <c r="I27" s="367"/>
      <c r="J27" s="369" t="s">
        <v>24</v>
      </c>
      <c r="K27" s="370">
        <f>[1]Rosica!K27+[1]Sevlievo!K27</f>
        <v>6.1</v>
      </c>
      <c r="L27" s="371">
        <f>[1]Rosica!L27+[1]Sevlievo!L27</f>
        <v>214</v>
      </c>
      <c r="M27" s="371">
        <f>[1]Rosica!M27+[1]Sevlievo!M27</f>
        <v>196</v>
      </c>
      <c r="N27" s="371">
        <f>[1]Rosica!N27+[1]Sevlievo!N27</f>
        <v>0</v>
      </c>
      <c r="O27" s="371">
        <f>[1]Rosica!O27+[1]Sevlievo!O27</f>
        <v>0</v>
      </c>
      <c r="P27" s="371">
        <f>[1]Rosica!P27+[1]Sevlievo!P27</f>
        <v>0</v>
      </c>
      <c r="Q27" s="371">
        <f>[1]Rosica!Q27+[1]Sevlievo!Q27</f>
        <v>196</v>
      </c>
      <c r="R27" s="369" t="s">
        <v>24</v>
      </c>
      <c r="S27" s="370">
        <f>[1]Rosica!S27+[1]Sevlievo!S27</f>
        <v>0.8</v>
      </c>
      <c r="T27" s="371">
        <f>[1]Rosica!T27+[1]Sevlievo!T27</f>
        <v>749</v>
      </c>
      <c r="U27" s="371">
        <f>[1]Rosica!U27+[1]Sevlievo!U27</f>
        <v>673</v>
      </c>
      <c r="V27" s="371">
        <f>[1]Rosica!V27+[1]Sevlievo!V27</f>
        <v>148</v>
      </c>
      <c r="W27" s="371">
        <f>[1]Rosica!W27+[1]Sevlievo!W27</f>
        <v>20</v>
      </c>
      <c r="X27" s="371">
        <f>[1]Rosica!X27+[1]Sevlievo!X27</f>
        <v>0</v>
      </c>
      <c r="Y27" s="371">
        <f>[1]Rosica!Y27+[1]Sevlievo!Y27</f>
        <v>505</v>
      </c>
      <c r="Z27" s="367"/>
      <c r="AA27" s="369" t="s">
        <v>24</v>
      </c>
      <c r="AB27" s="370">
        <f>[1]Rosica!AB27+[1]Sevlievo!AB27</f>
        <v>0</v>
      </c>
      <c r="AC27" s="371">
        <f>[1]Rosica!AC27+[1]Sevlievo!AC27</f>
        <v>0</v>
      </c>
      <c r="AD27" s="371">
        <f>[1]Rosica!AD27+[1]Sevlievo!AD27</f>
        <v>0</v>
      </c>
      <c r="AE27" s="371">
        <f>[1]Rosica!AE27+[1]Sevlievo!AE27</f>
        <v>0</v>
      </c>
      <c r="AF27" s="371">
        <f>[1]Rosica!AF27+[1]Sevlievo!AF27</f>
        <v>0</v>
      </c>
      <c r="AG27" s="371">
        <f>[1]Rosica!AG27+[1]Sevlievo!AG27</f>
        <v>0</v>
      </c>
      <c r="AH27" s="371">
        <f>[1]Rosica!AH27+[1]Sevlievo!AH27</f>
        <v>0</v>
      </c>
      <c r="AI27" s="367"/>
      <c r="AJ27" s="369" t="s">
        <v>24</v>
      </c>
      <c r="AK27" s="370">
        <f>[1]Rosica!AK27+[1]Sevlievo!AK27</f>
        <v>0</v>
      </c>
      <c r="AL27" s="371">
        <f>[1]Rosica!AL27+[1]Sevlievo!AL27</f>
        <v>0</v>
      </c>
      <c r="AM27" s="371">
        <f>[1]Rosica!AM27+[1]Sevlievo!AM27</f>
        <v>0</v>
      </c>
      <c r="AN27" s="371">
        <f>[1]Rosica!AN27+[1]Sevlievo!AN27</f>
        <v>0</v>
      </c>
      <c r="AO27" s="371">
        <f>[1]Rosica!AO27+[1]Sevlievo!AO27</f>
        <v>0</v>
      </c>
      <c r="AP27" s="371">
        <f>[1]Rosica!AP27+[1]Sevlievo!AP27</f>
        <v>0</v>
      </c>
      <c r="AQ27" s="371">
        <f>[1]Rosica!AQ27+[1]Sevlievo!AQ27</f>
        <v>0</v>
      </c>
      <c r="AS27" s="21"/>
    </row>
    <row r="28" spans="1:45">
      <c r="A28" s="369" t="s">
        <v>12</v>
      </c>
      <c r="B28" s="371">
        <f t="shared" ref="B28:H28" si="35">+B27/B26*100</f>
        <v>9.4780219780219781</v>
      </c>
      <c r="C28" s="371">
        <f t="shared" si="35"/>
        <v>48.660939868620517</v>
      </c>
      <c r="D28" s="371">
        <f t="shared" si="35"/>
        <v>50</v>
      </c>
      <c r="E28" s="371">
        <f t="shared" si="35"/>
        <v>925</v>
      </c>
      <c r="F28" s="371">
        <f t="shared" si="35"/>
        <v>5.2356020942408374</v>
      </c>
      <c r="G28" s="371">
        <f t="shared" si="35"/>
        <v>0</v>
      </c>
      <c r="H28" s="371">
        <f t="shared" si="35"/>
        <v>56.305220883534133</v>
      </c>
      <c r="I28" s="367"/>
      <c r="J28" s="369" t="s">
        <v>12</v>
      </c>
      <c r="K28" s="371">
        <f t="shared" ref="K28:Q28" si="36">+K27/K26*100</f>
        <v>20.19867549668874</v>
      </c>
      <c r="L28" s="371">
        <f t="shared" si="36"/>
        <v>32.92307692307692</v>
      </c>
      <c r="M28" s="371">
        <f t="shared" si="36"/>
        <v>35.963302752293579</v>
      </c>
      <c r="N28" s="371">
        <f t="shared" si="36"/>
        <v>0</v>
      </c>
      <c r="O28" s="371">
        <f t="shared" si="36"/>
        <v>0</v>
      </c>
      <c r="P28" s="371">
        <f t="shared" si="36"/>
        <v>0</v>
      </c>
      <c r="Q28" s="371">
        <f t="shared" si="36"/>
        <v>53.846153846153847</v>
      </c>
      <c r="R28" s="369" t="s">
        <v>12</v>
      </c>
      <c r="S28" s="371">
        <f t="shared" ref="S28:Y28" si="37">+S27/S26*100</f>
        <v>1.9047619047619049</v>
      </c>
      <c r="T28" s="371">
        <f t="shared" si="37"/>
        <v>57.00152207001522</v>
      </c>
      <c r="U28" s="371">
        <f t="shared" si="37"/>
        <v>56.98560541913632</v>
      </c>
      <c r="V28" s="371">
        <f t="shared" si="37"/>
        <v>986.66666666666674</v>
      </c>
      <c r="W28" s="371">
        <f t="shared" si="37"/>
        <v>7.8431372549019605</v>
      </c>
      <c r="X28" s="371">
        <f t="shared" si="37"/>
        <v>0</v>
      </c>
      <c r="Y28" s="371">
        <f t="shared" si="37"/>
        <v>57.979334098737077</v>
      </c>
      <c r="Z28" s="367"/>
      <c r="AA28" s="369" t="s">
        <v>12</v>
      </c>
      <c r="AB28" s="371" t="e">
        <f t="shared" ref="AB28:AH28" si="38">+AB27/AB26*100</f>
        <v>#DIV/0!</v>
      </c>
      <c r="AC28" s="371">
        <f t="shared" si="38"/>
        <v>0</v>
      </c>
      <c r="AD28" s="371">
        <f t="shared" si="38"/>
        <v>0</v>
      </c>
      <c r="AE28" s="371">
        <f t="shared" si="38"/>
        <v>0</v>
      </c>
      <c r="AF28" s="371">
        <f t="shared" si="38"/>
        <v>0</v>
      </c>
      <c r="AG28" s="371">
        <f t="shared" si="38"/>
        <v>0</v>
      </c>
      <c r="AH28" s="371">
        <f t="shared" si="38"/>
        <v>0</v>
      </c>
      <c r="AI28" s="367"/>
      <c r="AJ28" s="369" t="s">
        <v>12</v>
      </c>
      <c r="AK28" s="371">
        <f t="shared" ref="AK28:AQ28" si="39">+AK27/AK26*100</f>
        <v>0</v>
      </c>
      <c r="AL28" s="371">
        <f t="shared" si="39"/>
        <v>0</v>
      </c>
      <c r="AM28" s="371">
        <f t="shared" si="39"/>
        <v>0</v>
      </c>
      <c r="AN28" s="371" t="e">
        <f t="shared" si="39"/>
        <v>#DIV/0!</v>
      </c>
      <c r="AO28" s="371">
        <f t="shared" si="39"/>
        <v>0</v>
      </c>
      <c r="AP28" s="371" t="e">
        <f t="shared" si="39"/>
        <v>#DIV/0!</v>
      </c>
      <c r="AQ28" s="371">
        <f t="shared" si="39"/>
        <v>0</v>
      </c>
    </row>
    <row r="29" spans="1:45">
      <c r="A29" s="369" t="s">
        <v>25</v>
      </c>
      <c r="B29" s="369">
        <f>+K29+S29+AK29</f>
        <v>175.20000000000002</v>
      </c>
      <c r="C29" s="369">
        <f>+L29+T29+AL29</f>
        <v>5045</v>
      </c>
      <c r="D29" s="368">
        <f>SUM(E29:H29)</f>
        <v>4396</v>
      </c>
      <c r="E29" s="369">
        <f t="shared" ref="E29:H30" si="40">+N29+V29+AN29</f>
        <v>238</v>
      </c>
      <c r="F29" s="369">
        <f t="shared" si="40"/>
        <v>731</v>
      </c>
      <c r="G29" s="369">
        <f t="shared" si="40"/>
        <v>78</v>
      </c>
      <c r="H29" s="369">
        <f t="shared" si="40"/>
        <v>3349</v>
      </c>
      <c r="I29" s="367"/>
      <c r="J29" s="369" t="s">
        <v>25</v>
      </c>
      <c r="K29" s="370">
        <f>[1]Rosica!K29+[1]Sevlievo!K29</f>
        <v>56.9</v>
      </c>
      <c r="L29" s="371">
        <f>[1]Rosica!L29+[1]Sevlievo!L29</f>
        <v>1185</v>
      </c>
      <c r="M29" s="371">
        <f>[1]Rosica!M29+[1]Sevlievo!M29</f>
        <v>1017</v>
      </c>
      <c r="N29" s="371">
        <f>[1]Rosica!N29+[1]Sevlievo!N29</f>
        <v>8</v>
      </c>
      <c r="O29" s="371">
        <f>[1]Rosica!O29+[1]Sevlievo!O29</f>
        <v>184</v>
      </c>
      <c r="P29" s="371">
        <f>[1]Rosica!P29+[1]Sevlievo!P29</f>
        <v>53</v>
      </c>
      <c r="Q29" s="371">
        <f>[1]Rosica!Q29+[1]Sevlievo!Q29</f>
        <v>772</v>
      </c>
      <c r="R29" s="369" t="s">
        <v>25</v>
      </c>
      <c r="S29" s="370">
        <f>[1]Rosica!S29+[1]Sevlievo!S29</f>
        <v>115</v>
      </c>
      <c r="T29" s="371">
        <f>[1]Rosica!T29+[1]Sevlievo!T29</f>
        <v>3783</v>
      </c>
      <c r="U29" s="371">
        <f>[1]Rosica!U29+[1]Sevlievo!U29</f>
        <v>3315</v>
      </c>
      <c r="V29" s="371">
        <f>[1]Rosica!V29+[1]Sevlievo!V29</f>
        <v>230</v>
      </c>
      <c r="W29" s="371">
        <f>[1]Rosica!W29+[1]Sevlievo!W29</f>
        <v>543</v>
      </c>
      <c r="X29" s="371">
        <f>[1]Rosica!X29+[1]Sevlievo!X29</f>
        <v>25</v>
      </c>
      <c r="Y29" s="371">
        <f>[1]Rosica!Y29+[1]Sevlievo!Y29</f>
        <v>2517</v>
      </c>
      <c r="Z29" s="367"/>
      <c r="AA29" s="369" t="s">
        <v>25</v>
      </c>
      <c r="AB29" s="370">
        <f>[1]Rosica!AB29+[1]Sevlievo!AB29</f>
        <v>1</v>
      </c>
      <c r="AC29" s="371">
        <f>[1]Rosica!AC29+[1]Sevlievo!AC29</f>
        <v>32</v>
      </c>
      <c r="AD29" s="371">
        <f>[1]Rosica!AD29+[1]Sevlievo!AD29</f>
        <v>24</v>
      </c>
      <c r="AE29" s="371">
        <f>[1]Rosica!AE29+[1]Sevlievo!AE29</f>
        <v>2</v>
      </c>
      <c r="AF29" s="371">
        <f>[1]Rosica!AF29+[1]Sevlievo!AF29</f>
        <v>0</v>
      </c>
      <c r="AG29" s="371">
        <f>[1]Rosica!AG29+[1]Sevlievo!AG29</f>
        <v>0</v>
      </c>
      <c r="AH29" s="371">
        <f>[1]Rosica!AH29+[1]Sevlievo!AH29</f>
        <v>22</v>
      </c>
      <c r="AI29" s="367"/>
      <c r="AJ29" s="369" t="s">
        <v>25</v>
      </c>
      <c r="AK29" s="370">
        <f>[1]Rosica!AK29+[1]Sevlievo!AK29</f>
        <v>3.3</v>
      </c>
      <c r="AL29" s="371">
        <f>[1]Rosica!AL29+[1]Sevlievo!AL29</f>
        <v>77</v>
      </c>
      <c r="AM29" s="371">
        <f>[1]Rosica!AM29+[1]Sevlievo!AM29</f>
        <v>64</v>
      </c>
      <c r="AN29" s="371">
        <f>[1]Rosica!AN29+[1]Sevlievo!AN29</f>
        <v>0</v>
      </c>
      <c r="AO29" s="371">
        <f>[1]Rosica!AO29+[1]Sevlievo!AO29</f>
        <v>4</v>
      </c>
      <c r="AP29" s="371">
        <f>[1]Rosica!AP29+[1]Sevlievo!AP29</f>
        <v>0</v>
      </c>
      <c r="AQ29" s="371">
        <f>[1]Rosica!AQ29+[1]Sevlievo!AQ29</f>
        <v>60</v>
      </c>
    </row>
    <row r="30" spans="1:45">
      <c r="A30" s="369" t="s">
        <v>26</v>
      </c>
      <c r="B30" s="369">
        <f>+K30+S30+AK30</f>
        <v>202.5</v>
      </c>
      <c r="C30" s="369">
        <f>+L30+T30+AL30</f>
        <v>6251</v>
      </c>
      <c r="D30" s="368">
        <f>SUM(E30:H30)</f>
        <v>5578</v>
      </c>
      <c r="E30" s="369">
        <f t="shared" si="40"/>
        <v>2</v>
      </c>
      <c r="F30" s="369">
        <f t="shared" si="40"/>
        <v>158</v>
      </c>
      <c r="G30" s="369">
        <f t="shared" si="40"/>
        <v>4</v>
      </c>
      <c r="H30" s="369">
        <f t="shared" si="40"/>
        <v>5414</v>
      </c>
      <c r="I30" s="367"/>
      <c r="J30" s="369" t="s">
        <v>26</v>
      </c>
      <c r="K30" s="370">
        <f>[1]Rosica!K30+[1]Sevlievo!K30</f>
        <v>23.5</v>
      </c>
      <c r="L30" s="371">
        <f>[1]Rosica!L30+[1]Sevlievo!L30</f>
        <v>893</v>
      </c>
      <c r="M30" s="371">
        <f>[1]Rosica!M30+[1]Sevlievo!M30</f>
        <v>819</v>
      </c>
      <c r="N30" s="371">
        <f>[1]Rosica!N30+[1]Sevlievo!N30</f>
        <v>0</v>
      </c>
      <c r="O30" s="371">
        <f>[1]Rosica!O30+[1]Sevlievo!O30</f>
        <v>121</v>
      </c>
      <c r="P30" s="371">
        <f>[1]Rosica!P30+[1]Sevlievo!P30</f>
        <v>4</v>
      </c>
      <c r="Q30" s="371">
        <f>[1]Rosica!Q30+[1]Sevlievo!Q30</f>
        <v>694</v>
      </c>
      <c r="R30" s="369" t="s">
        <v>26</v>
      </c>
      <c r="S30" s="370">
        <f>[1]Rosica!S30+[1]Sevlievo!S30</f>
        <v>179</v>
      </c>
      <c r="T30" s="371">
        <f>[1]Rosica!T30+[1]Sevlievo!T30</f>
        <v>5358</v>
      </c>
      <c r="U30" s="371">
        <f>[1]Rosica!U30+[1]Sevlievo!U30</f>
        <v>4759</v>
      </c>
      <c r="V30" s="371">
        <f>[1]Rosica!V30+[1]Sevlievo!V30</f>
        <v>2</v>
      </c>
      <c r="W30" s="371">
        <f>[1]Rosica!W30+[1]Sevlievo!W30</f>
        <v>37</v>
      </c>
      <c r="X30" s="371">
        <f>[1]Rosica!X30+[1]Sevlievo!X30</f>
        <v>0</v>
      </c>
      <c r="Y30" s="371">
        <f>[1]Rosica!Y30+[1]Sevlievo!Y30</f>
        <v>4720</v>
      </c>
      <c r="Z30" s="367"/>
      <c r="AA30" s="369" t="s">
        <v>26</v>
      </c>
      <c r="AB30" s="370">
        <f>[1]Rosica!AB30+[1]Sevlievo!AB30</f>
        <v>0</v>
      </c>
      <c r="AC30" s="371">
        <f>[1]Rosica!AC30+[1]Sevlievo!AC30</f>
        <v>0</v>
      </c>
      <c r="AD30" s="371">
        <f>[1]Rosica!AD30+[1]Sevlievo!AD30</f>
        <v>0</v>
      </c>
      <c r="AE30" s="371">
        <f>[1]Rosica!AE30+[1]Sevlievo!AE30</f>
        <v>0</v>
      </c>
      <c r="AF30" s="371">
        <f>[1]Rosica!AF30+[1]Sevlievo!AF30</f>
        <v>0</v>
      </c>
      <c r="AG30" s="371">
        <f>[1]Rosica!AG30+[1]Sevlievo!AG30</f>
        <v>0</v>
      </c>
      <c r="AH30" s="371">
        <f>[1]Rosica!AH30+[1]Sevlievo!AH30</f>
        <v>0</v>
      </c>
      <c r="AI30" s="367"/>
      <c r="AJ30" s="369" t="s">
        <v>26</v>
      </c>
      <c r="AK30" s="370">
        <f>[1]Rosica!AK30+[1]Sevlievo!AK30</f>
        <v>0</v>
      </c>
      <c r="AL30" s="371">
        <f>[1]Rosica!AL30+[1]Sevlievo!AL30</f>
        <v>0</v>
      </c>
      <c r="AM30" s="371">
        <f>[1]Rosica!AM30+[1]Sevlievo!AM30</f>
        <v>0</v>
      </c>
      <c r="AN30" s="371">
        <f>[1]Rosica!AN30+[1]Sevlievo!AN30</f>
        <v>0</v>
      </c>
      <c r="AO30" s="371">
        <f>[1]Rosica!AO30+[1]Sevlievo!AO30</f>
        <v>0</v>
      </c>
      <c r="AP30" s="371">
        <f>[1]Rosica!AP30+[1]Sevlievo!AP30</f>
        <v>0</v>
      </c>
      <c r="AQ30" s="371">
        <f>[1]Rosica!AQ30+[1]Sevlievo!AQ30</f>
        <v>0</v>
      </c>
    </row>
    <row r="31" spans="1:45">
      <c r="A31" s="369" t="s">
        <v>12</v>
      </c>
      <c r="B31" s="371">
        <f t="shared" ref="B31:H31" si="41">+B30/B29*100</f>
        <v>115.5821917808219</v>
      </c>
      <c r="C31" s="371">
        <f t="shared" si="41"/>
        <v>123.90485629335977</v>
      </c>
      <c r="D31" s="371">
        <f t="shared" si="41"/>
        <v>126.88808007279344</v>
      </c>
      <c r="E31" s="371">
        <f t="shared" si="41"/>
        <v>0.84033613445378152</v>
      </c>
      <c r="F31" s="371">
        <f t="shared" si="41"/>
        <v>21.614227086183309</v>
      </c>
      <c r="G31" s="371">
        <f t="shared" si="41"/>
        <v>5.1282051282051277</v>
      </c>
      <c r="H31" s="371">
        <f t="shared" si="41"/>
        <v>161.66019707375335</v>
      </c>
      <c r="I31" s="367"/>
      <c r="J31" s="369" t="s">
        <v>12</v>
      </c>
      <c r="K31" s="371">
        <f t="shared" ref="K31:Q31" si="42">+K30/K29*100</f>
        <v>41.300527240773292</v>
      </c>
      <c r="L31" s="371">
        <f t="shared" si="42"/>
        <v>75.358649789029528</v>
      </c>
      <c r="M31" s="371">
        <f t="shared" si="42"/>
        <v>80.530973451327441</v>
      </c>
      <c r="N31" s="371">
        <f t="shared" si="42"/>
        <v>0</v>
      </c>
      <c r="O31" s="371">
        <f t="shared" si="42"/>
        <v>65.760869565217391</v>
      </c>
      <c r="P31" s="371">
        <f t="shared" si="42"/>
        <v>7.5471698113207548</v>
      </c>
      <c r="Q31" s="371">
        <f t="shared" si="42"/>
        <v>89.896373056994818</v>
      </c>
      <c r="R31" s="369" t="s">
        <v>12</v>
      </c>
      <c r="S31" s="371">
        <f t="shared" ref="S31:Y31" si="43">+S30/S29*100</f>
        <v>155.65217391304347</v>
      </c>
      <c r="T31" s="371">
        <f t="shared" si="43"/>
        <v>141.63362410785092</v>
      </c>
      <c r="U31" s="371">
        <f t="shared" si="43"/>
        <v>143.55957767722472</v>
      </c>
      <c r="V31" s="371">
        <f t="shared" si="43"/>
        <v>0.86956521739130432</v>
      </c>
      <c r="W31" s="371">
        <f t="shared" si="43"/>
        <v>6.8139963167587485</v>
      </c>
      <c r="X31" s="371">
        <f t="shared" si="43"/>
        <v>0</v>
      </c>
      <c r="Y31" s="371">
        <f t="shared" si="43"/>
        <v>187.52483114819231</v>
      </c>
      <c r="Z31" s="367"/>
      <c r="AA31" s="369" t="s">
        <v>12</v>
      </c>
      <c r="AB31" s="371">
        <f t="shared" ref="AB31:AH31" si="44">+AB30/AB29*100</f>
        <v>0</v>
      </c>
      <c r="AC31" s="371">
        <f t="shared" si="44"/>
        <v>0</v>
      </c>
      <c r="AD31" s="371">
        <f t="shared" si="44"/>
        <v>0</v>
      </c>
      <c r="AE31" s="371">
        <f t="shared" si="44"/>
        <v>0</v>
      </c>
      <c r="AF31" s="371" t="e">
        <f t="shared" si="44"/>
        <v>#DIV/0!</v>
      </c>
      <c r="AG31" s="371" t="e">
        <f t="shared" si="44"/>
        <v>#DIV/0!</v>
      </c>
      <c r="AH31" s="371">
        <f t="shared" si="44"/>
        <v>0</v>
      </c>
      <c r="AI31" s="367"/>
      <c r="AJ31" s="369" t="s">
        <v>12</v>
      </c>
      <c r="AK31" s="371">
        <f t="shared" ref="AK31:AQ31" si="45">+AK30/AK29*100</f>
        <v>0</v>
      </c>
      <c r="AL31" s="371">
        <f t="shared" si="45"/>
        <v>0</v>
      </c>
      <c r="AM31" s="371">
        <f t="shared" si="45"/>
        <v>0</v>
      </c>
      <c r="AN31" s="371" t="e">
        <f t="shared" si="45"/>
        <v>#DIV/0!</v>
      </c>
      <c r="AO31" s="371">
        <f t="shared" si="45"/>
        <v>0</v>
      </c>
      <c r="AP31" s="371" t="e">
        <f t="shared" si="45"/>
        <v>#DIV/0!</v>
      </c>
      <c r="AQ31" s="371">
        <f t="shared" si="45"/>
        <v>0</v>
      </c>
    </row>
    <row r="32" spans="1:45">
      <c r="A32" s="369" t="s">
        <v>27</v>
      </c>
      <c r="B32" s="369">
        <f>+K32+S32+AK32</f>
        <v>3.3</v>
      </c>
      <c r="C32" s="369">
        <f>+L32+T32+AL32</f>
        <v>461</v>
      </c>
      <c r="D32" s="368">
        <f>SUM(E32:H32)</f>
        <v>397</v>
      </c>
      <c r="E32" s="369">
        <f t="shared" ref="E32:H33" si="46">+N32+V32+AN32</f>
        <v>215</v>
      </c>
      <c r="F32" s="369">
        <f t="shared" si="46"/>
        <v>29</v>
      </c>
      <c r="G32" s="369">
        <f t="shared" si="46"/>
        <v>9</v>
      </c>
      <c r="H32" s="369">
        <f t="shared" si="46"/>
        <v>144</v>
      </c>
      <c r="I32" s="367"/>
      <c r="J32" s="369" t="s">
        <v>27</v>
      </c>
      <c r="K32" s="370">
        <f>[1]Rosica!K32+[1]Sevlievo!K32</f>
        <v>0</v>
      </c>
      <c r="L32" s="371">
        <f>[1]Rosica!L32+[1]Sevlievo!L32</f>
        <v>0</v>
      </c>
      <c r="M32" s="371">
        <f>[1]Rosica!M32+[1]Sevlievo!M32</f>
        <v>0</v>
      </c>
      <c r="N32" s="371">
        <f>[1]Rosica!N32+[1]Sevlievo!N32</f>
        <v>0</v>
      </c>
      <c r="O32" s="371">
        <f>[1]Rosica!O32+[1]Sevlievo!O32</f>
        <v>0</v>
      </c>
      <c r="P32" s="371">
        <f>[1]Rosica!P32+[1]Sevlievo!P32</f>
        <v>0</v>
      </c>
      <c r="Q32" s="371">
        <f>[1]Rosica!Q32+[1]Sevlievo!Q32</f>
        <v>0</v>
      </c>
      <c r="R32" s="369" t="s">
        <v>27</v>
      </c>
      <c r="S32" s="370">
        <f>[1]Rosica!S32+[1]Sevlievo!S32</f>
        <v>3.3</v>
      </c>
      <c r="T32" s="371">
        <f>[1]Rosica!T32+[1]Sevlievo!T32</f>
        <v>461</v>
      </c>
      <c r="U32" s="371">
        <f>[1]Rosica!U32+[1]Sevlievo!U32</f>
        <v>397</v>
      </c>
      <c r="V32" s="371">
        <f>[1]Rosica!V32+[1]Sevlievo!V32</f>
        <v>215</v>
      </c>
      <c r="W32" s="371">
        <f>[1]Rosica!W32+[1]Sevlievo!W32</f>
        <v>29</v>
      </c>
      <c r="X32" s="371">
        <f>[1]Rosica!X32+[1]Sevlievo!X32</f>
        <v>9</v>
      </c>
      <c r="Y32" s="371">
        <f>[1]Rosica!Y32+[1]Sevlievo!Y32</f>
        <v>144</v>
      </c>
      <c r="Z32" s="367"/>
      <c r="AA32" s="369" t="s">
        <v>27</v>
      </c>
      <c r="AB32" s="370">
        <f>[1]Rosica!AB32+[1]Sevlievo!AB32</f>
        <v>3.2</v>
      </c>
      <c r="AC32" s="371">
        <f>[1]Rosica!AC32+[1]Sevlievo!AC32</f>
        <v>458</v>
      </c>
      <c r="AD32" s="371">
        <f>[1]Rosica!AD32+[1]Sevlievo!AD32</f>
        <v>394</v>
      </c>
      <c r="AE32" s="371">
        <f>[1]Rosica!AE32+[1]Sevlievo!AE32</f>
        <v>214</v>
      </c>
      <c r="AF32" s="371">
        <f>[1]Rosica!AF32+[1]Sevlievo!AF32</f>
        <v>29</v>
      </c>
      <c r="AG32" s="371">
        <f>[1]Rosica!AG32+[1]Sevlievo!AG32</f>
        <v>9</v>
      </c>
      <c r="AH32" s="371">
        <f>[1]Rosica!AH32+[1]Sevlievo!AH32</f>
        <v>142</v>
      </c>
      <c r="AI32" s="367"/>
      <c r="AJ32" s="369" t="s">
        <v>27</v>
      </c>
      <c r="AK32" s="370">
        <f>[1]Rosica!AK32+[1]Sevlievo!AK32</f>
        <v>0</v>
      </c>
      <c r="AL32" s="371">
        <f>[1]Rosica!AL32+[1]Sevlievo!AL32</f>
        <v>0</v>
      </c>
      <c r="AM32" s="371">
        <f>[1]Rosica!AM32+[1]Sevlievo!AM32</f>
        <v>0</v>
      </c>
      <c r="AN32" s="371">
        <f>[1]Rosica!AN32+[1]Sevlievo!AN32</f>
        <v>0</v>
      </c>
      <c r="AO32" s="371">
        <f>[1]Rosica!AO32+[1]Sevlievo!AO32</f>
        <v>0</v>
      </c>
      <c r="AP32" s="371">
        <f>[1]Rosica!AP32+[1]Sevlievo!AP32</f>
        <v>0</v>
      </c>
      <c r="AQ32" s="371">
        <f>[1]Rosica!AQ32+[1]Sevlievo!AQ32</f>
        <v>0</v>
      </c>
    </row>
    <row r="33" spans="1:43">
      <c r="A33" s="369" t="s">
        <v>28</v>
      </c>
      <c r="B33" s="369">
        <f>+K33+S33+AK33</f>
        <v>0</v>
      </c>
      <c r="C33" s="369">
        <f>+L33+T33+AL33</f>
        <v>0</v>
      </c>
      <c r="D33" s="368">
        <f>SUM(E33:H33)</f>
        <v>0</v>
      </c>
      <c r="E33" s="369">
        <f t="shared" si="46"/>
        <v>0</v>
      </c>
      <c r="F33" s="369">
        <f t="shared" si="46"/>
        <v>0</v>
      </c>
      <c r="G33" s="369">
        <f t="shared" si="46"/>
        <v>0</v>
      </c>
      <c r="H33" s="369">
        <f t="shared" si="46"/>
        <v>0</v>
      </c>
      <c r="I33" s="367"/>
      <c r="J33" s="369" t="s">
        <v>28</v>
      </c>
      <c r="K33" s="370">
        <f>[1]Rosica!K33+[1]Sevlievo!K33</f>
        <v>0</v>
      </c>
      <c r="L33" s="371">
        <f>[1]Rosica!L33+[1]Sevlievo!L33</f>
        <v>0</v>
      </c>
      <c r="M33" s="371">
        <f>[1]Rosica!M33+[1]Sevlievo!M33</f>
        <v>0</v>
      </c>
      <c r="N33" s="371">
        <f>[1]Rosica!N33+[1]Sevlievo!N33</f>
        <v>0</v>
      </c>
      <c r="O33" s="371">
        <f>[1]Rosica!O33+[1]Sevlievo!O33</f>
        <v>0</v>
      </c>
      <c r="P33" s="371">
        <f>[1]Rosica!P33+[1]Sevlievo!P33</f>
        <v>0</v>
      </c>
      <c r="Q33" s="371">
        <f>[1]Rosica!Q33+[1]Sevlievo!Q33</f>
        <v>0</v>
      </c>
      <c r="R33" s="369" t="s">
        <v>28</v>
      </c>
      <c r="S33" s="370">
        <f>[1]Rosica!S33+[1]Sevlievo!S33</f>
        <v>0</v>
      </c>
      <c r="T33" s="371">
        <f>[1]Rosica!T33+[1]Sevlievo!T33</f>
        <v>0</v>
      </c>
      <c r="U33" s="371">
        <f>[1]Rosica!U33+[1]Sevlievo!U33</f>
        <v>0</v>
      </c>
      <c r="V33" s="371">
        <f>[1]Rosica!V33+[1]Sevlievo!V33</f>
        <v>0</v>
      </c>
      <c r="W33" s="371">
        <f>[1]Rosica!W33+[1]Sevlievo!W33</f>
        <v>0</v>
      </c>
      <c r="X33" s="371">
        <f>[1]Rosica!X33+[1]Sevlievo!X33</f>
        <v>0</v>
      </c>
      <c r="Y33" s="371">
        <f>[1]Rosica!Y33+[1]Sevlievo!Y33</f>
        <v>0</v>
      </c>
      <c r="Z33" s="367"/>
      <c r="AA33" s="369" t="s">
        <v>28</v>
      </c>
      <c r="AB33" s="370">
        <f>[1]Rosica!AB33+[1]Sevlievo!AB33</f>
        <v>0</v>
      </c>
      <c r="AC33" s="371">
        <f>[1]Rosica!AC33+[1]Sevlievo!AC33</f>
        <v>0</v>
      </c>
      <c r="AD33" s="371">
        <f>[1]Rosica!AD33+[1]Sevlievo!AD33</f>
        <v>0</v>
      </c>
      <c r="AE33" s="371">
        <f>[1]Rosica!AE33+[1]Sevlievo!AE33</f>
        <v>0</v>
      </c>
      <c r="AF33" s="371">
        <f>[1]Rosica!AF33+[1]Sevlievo!AF33</f>
        <v>0</v>
      </c>
      <c r="AG33" s="371">
        <f>[1]Rosica!AG33+[1]Sevlievo!AG33</f>
        <v>0</v>
      </c>
      <c r="AH33" s="371">
        <f>[1]Rosica!AH33+[1]Sevlievo!AH33</f>
        <v>0</v>
      </c>
      <c r="AI33" s="367"/>
      <c r="AJ33" s="369" t="s">
        <v>28</v>
      </c>
      <c r="AK33" s="370">
        <f>[1]Rosica!AK33+[1]Sevlievo!AK33</f>
        <v>0</v>
      </c>
      <c r="AL33" s="371">
        <f>[1]Rosica!AL33+[1]Sevlievo!AL33</f>
        <v>0</v>
      </c>
      <c r="AM33" s="371">
        <f>[1]Rosica!AM33+[1]Sevlievo!AM33</f>
        <v>0</v>
      </c>
      <c r="AN33" s="371">
        <f>[1]Rosica!AN33+[1]Sevlievo!AN33</f>
        <v>0</v>
      </c>
      <c r="AO33" s="371">
        <f>[1]Rosica!AO33+[1]Sevlievo!AO33</f>
        <v>0</v>
      </c>
      <c r="AP33" s="371">
        <f>[1]Rosica!AP33+[1]Sevlievo!AP33</f>
        <v>0</v>
      </c>
      <c r="AQ33" s="371">
        <f>[1]Rosica!AQ33+[1]Sevlievo!AQ33</f>
        <v>0</v>
      </c>
    </row>
    <row r="34" spans="1:43">
      <c r="A34" s="369" t="s">
        <v>12</v>
      </c>
      <c r="B34" s="371">
        <f t="shared" ref="B34:H34" si="47">+B33/B32*100</f>
        <v>0</v>
      </c>
      <c r="C34" s="371">
        <f t="shared" si="47"/>
        <v>0</v>
      </c>
      <c r="D34" s="371">
        <f t="shared" si="47"/>
        <v>0</v>
      </c>
      <c r="E34" s="371">
        <f t="shared" si="47"/>
        <v>0</v>
      </c>
      <c r="F34" s="371">
        <f t="shared" si="47"/>
        <v>0</v>
      </c>
      <c r="G34" s="371">
        <f t="shared" si="47"/>
        <v>0</v>
      </c>
      <c r="H34" s="371">
        <f t="shared" si="47"/>
        <v>0</v>
      </c>
      <c r="I34" s="367"/>
      <c r="J34" s="369" t="s">
        <v>12</v>
      </c>
      <c r="K34" s="371" t="e">
        <f t="shared" ref="K34:Q34" si="48">+K33/K32*100</f>
        <v>#DIV/0!</v>
      </c>
      <c r="L34" s="371" t="e">
        <f t="shared" si="48"/>
        <v>#DIV/0!</v>
      </c>
      <c r="M34" s="371" t="e">
        <f t="shared" si="48"/>
        <v>#DIV/0!</v>
      </c>
      <c r="N34" s="371" t="e">
        <f t="shared" si="48"/>
        <v>#DIV/0!</v>
      </c>
      <c r="O34" s="371" t="e">
        <f t="shared" si="48"/>
        <v>#DIV/0!</v>
      </c>
      <c r="P34" s="371" t="e">
        <f t="shared" si="48"/>
        <v>#DIV/0!</v>
      </c>
      <c r="Q34" s="371" t="e">
        <f t="shared" si="48"/>
        <v>#DIV/0!</v>
      </c>
      <c r="R34" s="369" t="s">
        <v>12</v>
      </c>
      <c r="S34" s="371">
        <f t="shared" ref="S34:Y34" si="49">+S33/S32*100</f>
        <v>0</v>
      </c>
      <c r="T34" s="371">
        <f t="shared" si="49"/>
        <v>0</v>
      </c>
      <c r="U34" s="371">
        <f t="shared" si="49"/>
        <v>0</v>
      </c>
      <c r="V34" s="371">
        <f t="shared" si="49"/>
        <v>0</v>
      </c>
      <c r="W34" s="371">
        <f t="shared" si="49"/>
        <v>0</v>
      </c>
      <c r="X34" s="371">
        <f t="shared" si="49"/>
        <v>0</v>
      </c>
      <c r="Y34" s="371">
        <f t="shared" si="49"/>
        <v>0</v>
      </c>
      <c r="Z34" s="367"/>
      <c r="AA34" s="369" t="s">
        <v>12</v>
      </c>
      <c r="AB34" s="371">
        <f t="shared" ref="AB34:AH34" si="50">+AB33/AB32*100</f>
        <v>0</v>
      </c>
      <c r="AC34" s="371">
        <f t="shared" si="50"/>
        <v>0</v>
      </c>
      <c r="AD34" s="371">
        <f t="shared" si="50"/>
        <v>0</v>
      </c>
      <c r="AE34" s="371">
        <f t="shared" si="50"/>
        <v>0</v>
      </c>
      <c r="AF34" s="371">
        <f t="shared" si="50"/>
        <v>0</v>
      </c>
      <c r="AG34" s="371">
        <f t="shared" si="50"/>
        <v>0</v>
      </c>
      <c r="AH34" s="371">
        <f t="shared" si="50"/>
        <v>0</v>
      </c>
      <c r="AI34" s="367"/>
      <c r="AJ34" s="369" t="s">
        <v>12</v>
      </c>
      <c r="AK34" s="371" t="e">
        <f t="shared" ref="AK34:AQ34" si="51">+AK33/AK32*100</f>
        <v>#DIV/0!</v>
      </c>
      <c r="AL34" s="371" t="e">
        <f t="shared" si="51"/>
        <v>#DIV/0!</v>
      </c>
      <c r="AM34" s="371" t="e">
        <f t="shared" si="51"/>
        <v>#DIV/0!</v>
      </c>
      <c r="AN34" s="371" t="e">
        <f t="shared" si="51"/>
        <v>#DIV/0!</v>
      </c>
      <c r="AO34" s="371" t="e">
        <f t="shared" si="51"/>
        <v>#DIV/0!</v>
      </c>
      <c r="AP34" s="371" t="e">
        <f t="shared" si="51"/>
        <v>#DIV/0!</v>
      </c>
      <c r="AQ34" s="371" t="e">
        <f t="shared" si="51"/>
        <v>#DIV/0!</v>
      </c>
    </row>
    <row r="35" spans="1:43">
      <c r="A35" s="369" t="s">
        <v>29</v>
      </c>
      <c r="B35" s="369">
        <f>+K35+S35+AK35</f>
        <v>107.39999999999999</v>
      </c>
      <c r="C35" s="369">
        <f>+L35+T35+AL35</f>
        <v>7276</v>
      </c>
      <c r="D35" s="368">
        <f>SUM(E35:H35)</f>
        <v>6602</v>
      </c>
      <c r="E35" s="369">
        <f t="shared" ref="E35:H36" si="52">+N35+V35+AN35</f>
        <v>111</v>
      </c>
      <c r="F35" s="369">
        <f t="shared" si="52"/>
        <v>1199</v>
      </c>
      <c r="G35" s="369">
        <f t="shared" si="52"/>
        <v>312</v>
      </c>
      <c r="H35" s="369">
        <f t="shared" si="52"/>
        <v>4980</v>
      </c>
      <c r="I35" s="367"/>
      <c r="J35" s="369" t="s">
        <v>29</v>
      </c>
      <c r="K35" s="370">
        <f>[1]Rosica!K35+[1]Sevlievo!K35</f>
        <v>2.8</v>
      </c>
      <c r="L35" s="371">
        <f>[1]Rosica!L35+[1]Sevlievo!L35</f>
        <v>158</v>
      </c>
      <c r="M35" s="371">
        <f>[1]Rosica!M35+[1]Sevlievo!M35</f>
        <v>128</v>
      </c>
      <c r="N35" s="371">
        <f>[1]Rosica!N35+[1]Sevlievo!N35</f>
        <v>0</v>
      </c>
      <c r="O35" s="371">
        <f>[1]Rosica!O35+[1]Sevlievo!O35</f>
        <v>14</v>
      </c>
      <c r="P35" s="371">
        <f>[1]Rosica!P35+[1]Sevlievo!P35</f>
        <v>14</v>
      </c>
      <c r="Q35" s="371">
        <f>[1]Rosica!Q35+[1]Sevlievo!Q35</f>
        <v>100</v>
      </c>
      <c r="R35" s="369" t="s">
        <v>29</v>
      </c>
      <c r="S35" s="370">
        <f>[1]Rosica!S35+[1]Sevlievo!S35</f>
        <v>104.3</v>
      </c>
      <c r="T35" s="371">
        <f>[1]Rosica!T35+[1]Sevlievo!T35</f>
        <v>7110</v>
      </c>
      <c r="U35" s="371">
        <f>[1]Rosica!U35+[1]Sevlievo!U35</f>
        <v>6468</v>
      </c>
      <c r="V35" s="371">
        <f>[1]Rosica!V35+[1]Sevlievo!V35</f>
        <v>111</v>
      </c>
      <c r="W35" s="371">
        <f>[1]Rosica!W35+[1]Sevlievo!W35</f>
        <v>1185</v>
      </c>
      <c r="X35" s="371">
        <f>[1]Rosica!X35+[1]Sevlievo!X35</f>
        <v>298</v>
      </c>
      <c r="Y35" s="371">
        <f>[1]Rosica!Y35+[1]Sevlievo!Y35</f>
        <v>4874</v>
      </c>
      <c r="Z35" s="367"/>
      <c r="AA35" s="369" t="s">
        <v>29</v>
      </c>
      <c r="AB35" s="370">
        <f>[1]Rosica!AB35+[1]Sevlievo!AB35</f>
        <v>0.4</v>
      </c>
      <c r="AC35" s="371">
        <f>[1]Rosica!AC35+[1]Sevlievo!AC35</f>
        <v>46</v>
      </c>
      <c r="AD35" s="371">
        <f>[1]Rosica!AD35+[1]Sevlievo!AD35</f>
        <v>43</v>
      </c>
      <c r="AE35" s="371">
        <f>[1]Rosica!AE35+[1]Sevlievo!AE35</f>
        <v>1</v>
      </c>
      <c r="AF35" s="371">
        <f>[1]Rosica!AF35+[1]Sevlievo!AF35</f>
        <v>5</v>
      </c>
      <c r="AG35" s="371">
        <f>[1]Rosica!AG35+[1]Sevlievo!AG35</f>
        <v>2</v>
      </c>
      <c r="AH35" s="371">
        <f>[1]Rosica!AH35+[1]Sevlievo!AH35</f>
        <v>35</v>
      </c>
      <c r="AI35" s="367"/>
      <c r="AJ35" s="369" t="s">
        <v>29</v>
      </c>
      <c r="AK35" s="370">
        <f>[1]Rosica!AK35+[1]Sevlievo!AK35</f>
        <v>0.3</v>
      </c>
      <c r="AL35" s="371">
        <f>[1]Rosica!AL35+[1]Sevlievo!AL35</f>
        <v>8</v>
      </c>
      <c r="AM35" s="371">
        <f>[1]Rosica!AM35+[1]Sevlievo!AM35</f>
        <v>6</v>
      </c>
      <c r="AN35" s="371">
        <f>[1]Rosica!AN35+[1]Sevlievo!AN35</f>
        <v>0</v>
      </c>
      <c r="AO35" s="371">
        <f>[1]Rosica!AO35+[1]Sevlievo!AO35</f>
        <v>0</v>
      </c>
      <c r="AP35" s="371">
        <f>[1]Rosica!AP35+[1]Sevlievo!AP35</f>
        <v>0</v>
      </c>
      <c r="AQ35" s="371">
        <f>[1]Rosica!AQ35+[1]Sevlievo!AQ35</f>
        <v>6</v>
      </c>
    </row>
    <row r="36" spans="1:43">
      <c r="A36" s="369" t="s">
        <v>30</v>
      </c>
      <c r="B36" s="369">
        <f>+K36+S36+AK36</f>
        <v>64.100000000000009</v>
      </c>
      <c r="C36" s="369">
        <f>+L36+T36+AL36</f>
        <v>5138</v>
      </c>
      <c r="D36" s="368">
        <f>SUM(E36:H36)</f>
        <v>4727</v>
      </c>
      <c r="E36" s="369">
        <f t="shared" si="52"/>
        <v>10</v>
      </c>
      <c r="F36" s="369">
        <f t="shared" si="52"/>
        <v>692</v>
      </c>
      <c r="G36" s="369">
        <f t="shared" si="52"/>
        <v>344</v>
      </c>
      <c r="H36" s="369">
        <f t="shared" si="52"/>
        <v>3681</v>
      </c>
      <c r="I36" s="367"/>
      <c r="J36" s="369" t="s">
        <v>30</v>
      </c>
      <c r="K36" s="370">
        <f>[1]Rosica!K36+[1]Sevlievo!K36</f>
        <v>0</v>
      </c>
      <c r="L36" s="371">
        <f>[1]Rosica!L36+[1]Sevlievo!L36</f>
        <v>21</v>
      </c>
      <c r="M36" s="371">
        <f>[1]Rosica!M36+[1]Sevlievo!M36</f>
        <v>18</v>
      </c>
      <c r="N36" s="371">
        <f>[1]Rosica!N36+[1]Sevlievo!N36</f>
        <v>0</v>
      </c>
      <c r="O36" s="371">
        <f>[1]Rosica!O36+[1]Sevlievo!O36</f>
        <v>0</v>
      </c>
      <c r="P36" s="371">
        <f>[1]Rosica!P36+[1]Sevlievo!P36</f>
        <v>0</v>
      </c>
      <c r="Q36" s="371">
        <f>[1]Rosica!Q36+[1]Sevlievo!Q36</f>
        <v>18</v>
      </c>
      <c r="R36" s="369" t="s">
        <v>30</v>
      </c>
      <c r="S36" s="370">
        <f>[1]Rosica!S36+[1]Sevlievo!S36</f>
        <v>64.100000000000009</v>
      </c>
      <c r="T36" s="371">
        <f>[1]Rosica!T36+[1]Sevlievo!T36</f>
        <v>5117</v>
      </c>
      <c r="U36" s="371">
        <f>[1]Rosica!U36+[1]Sevlievo!U36</f>
        <v>4709</v>
      </c>
      <c r="V36" s="371">
        <f>[1]Rosica!V36+[1]Sevlievo!V36</f>
        <v>10</v>
      </c>
      <c r="W36" s="371">
        <f>[1]Rosica!W36+[1]Sevlievo!W36</f>
        <v>692</v>
      </c>
      <c r="X36" s="371">
        <f>[1]Rosica!X36+[1]Sevlievo!X36</f>
        <v>344</v>
      </c>
      <c r="Y36" s="371">
        <f>[1]Rosica!Y36+[1]Sevlievo!Y36</f>
        <v>3663</v>
      </c>
      <c r="Z36" s="367"/>
      <c r="AA36" s="369" t="s">
        <v>30</v>
      </c>
      <c r="AB36" s="370">
        <f>[1]Rosica!AB36+[1]Sevlievo!AB36</f>
        <v>0</v>
      </c>
      <c r="AC36" s="371">
        <f>[1]Rosica!AC36+[1]Sevlievo!AC36</f>
        <v>0</v>
      </c>
      <c r="AD36" s="371">
        <f>[1]Rosica!AD36+[1]Sevlievo!AD36</f>
        <v>0</v>
      </c>
      <c r="AE36" s="371">
        <f>[1]Rosica!AE36+[1]Sevlievo!AE36</f>
        <v>0</v>
      </c>
      <c r="AF36" s="371">
        <f>[1]Rosica!AF36+[1]Sevlievo!AF36</f>
        <v>0</v>
      </c>
      <c r="AG36" s="371">
        <f>[1]Rosica!AG36+[1]Sevlievo!AG36</f>
        <v>0</v>
      </c>
      <c r="AH36" s="371">
        <f>[1]Rosica!AH36+[1]Sevlievo!AH36</f>
        <v>0</v>
      </c>
      <c r="AI36" s="367"/>
      <c r="AJ36" s="369" t="s">
        <v>30</v>
      </c>
      <c r="AK36" s="370">
        <f>[1]Rosica!AK36+[1]Sevlievo!AK36</f>
        <v>0</v>
      </c>
      <c r="AL36" s="371">
        <f>[1]Rosica!AL36+[1]Sevlievo!AL36</f>
        <v>0</v>
      </c>
      <c r="AM36" s="371">
        <f>[1]Rosica!AM36+[1]Sevlievo!AM36</f>
        <v>0</v>
      </c>
      <c r="AN36" s="371">
        <f>[1]Rosica!AN36+[1]Sevlievo!AN36</f>
        <v>0</v>
      </c>
      <c r="AO36" s="371">
        <f>[1]Rosica!AO36+[1]Sevlievo!AO36</f>
        <v>0</v>
      </c>
      <c r="AP36" s="371">
        <f>[1]Rosica!AP36+[1]Sevlievo!AP36</f>
        <v>0</v>
      </c>
      <c r="AQ36" s="371">
        <f>[1]Rosica!AQ36+[1]Sevlievo!AQ36</f>
        <v>0</v>
      </c>
    </row>
    <row r="37" spans="1:43">
      <c r="A37" s="369" t="s">
        <v>12</v>
      </c>
      <c r="B37" s="371">
        <f t="shared" ref="B37:H37" si="53">+B36/B35*100</f>
        <v>59.68342644320299</v>
      </c>
      <c r="C37" s="371">
        <f t="shared" si="53"/>
        <v>70.615722924683894</v>
      </c>
      <c r="D37" s="371">
        <f t="shared" si="53"/>
        <v>71.599515298394422</v>
      </c>
      <c r="E37" s="371">
        <f t="shared" si="53"/>
        <v>9.0090090090090094</v>
      </c>
      <c r="F37" s="371">
        <f t="shared" si="53"/>
        <v>57.714762301918263</v>
      </c>
      <c r="G37" s="371">
        <f t="shared" si="53"/>
        <v>110.25641025641026</v>
      </c>
      <c r="H37" s="371">
        <f t="shared" si="53"/>
        <v>73.915662650602414</v>
      </c>
      <c r="I37" s="367"/>
      <c r="J37" s="369" t="s">
        <v>12</v>
      </c>
      <c r="K37" s="371">
        <f t="shared" ref="K37:Q37" si="54">+K36/K35*100</f>
        <v>0</v>
      </c>
      <c r="L37" s="371">
        <f t="shared" si="54"/>
        <v>13.291139240506327</v>
      </c>
      <c r="M37" s="371">
        <f t="shared" si="54"/>
        <v>14.0625</v>
      </c>
      <c r="N37" s="371" t="e">
        <f t="shared" si="54"/>
        <v>#DIV/0!</v>
      </c>
      <c r="O37" s="371">
        <f t="shared" si="54"/>
        <v>0</v>
      </c>
      <c r="P37" s="371">
        <f t="shared" si="54"/>
        <v>0</v>
      </c>
      <c r="Q37" s="371">
        <f t="shared" si="54"/>
        <v>18</v>
      </c>
      <c r="R37" s="369" t="s">
        <v>12</v>
      </c>
      <c r="S37" s="371">
        <f t="shared" ref="S37:Y37" si="55">+S36/S35*100</f>
        <v>61.457334611697036</v>
      </c>
      <c r="T37" s="371">
        <f t="shared" si="55"/>
        <v>71.969057665260195</v>
      </c>
      <c r="U37" s="371">
        <f t="shared" si="55"/>
        <v>72.804576376004945</v>
      </c>
      <c r="V37" s="371">
        <f t="shared" si="55"/>
        <v>9.0090090090090094</v>
      </c>
      <c r="W37" s="371">
        <f t="shared" si="55"/>
        <v>58.396624472573841</v>
      </c>
      <c r="X37" s="371">
        <f t="shared" si="55"/>
        <v>115.43624161073826</v>
      </c>
      <c r="Y37" s="371">
        <f t="shared" si="55"/>
        <v>75.153877718506351</v>
      </c>
      <c r="Z37" s="367"/>
      <c r="AA37" s="369" t="s">
        <v>12</v>
      </c>
      <c r="AB37" s="371">
        <f t="shared" ref="AB37:AH37" si="56">+AB36/AB35*100</f>
        <v>0</v>
      </c>
      <c r="AC37" s="371">
        <f t="shared" si="56"/>
        <v>0</v>
      </c>
      <c r="AD37" s="371">
        <f t="shared" si="56"/>
        <v>0</v>
      </c>
      <c r="AE37" s="371">
        <f t="shared" si="56"/>
        <v>0</v>
      </c>
      <c r="AF37" s="371">
        <f t="shared" si="56"/>
        <v>0</v>
      </c>
      <c r="AG37" s="371">
        <f t="shared" si="56"/>
        <v>0</v>
      </c>
      <c r="AH37" s="371">
        <f t="shared" si="56"/>
        <v>0</v>
      </c>
      <c r="AI37" s="367"/>
      <c r="AJ37" s="369" t="s">
        <v>12</v>
      </c>
      <c r="AK37" s="371">
        <f t="shared" ref="AK37:AQ37" si="57">+AK36/AK35*100</f>
        <v>0</v>
      </c>
      <c r="AL37" s="371">
        <f t="shared" si="57"/>
        <v>0</v>
      </c>
      <c r="AM37" s="371">
        <f t="shared" si="57"/>
        <v>0</v>
      </c>
      <c r="AN37" s="371" t="e">
        <f t="shared" si="57"/>
        <v>#DIV/0!</v>
      </c>
      <c r="AO37" s="371" t="e">
        <f t="shared" si="57"/>
        <v>#DIV/0!</v>
      </c>
      <c r="AP37" s="371" t="e">
        <f t="shared" si="57"/>
        <v>#DIV/0!</v>
      </c>
      <c r="AQ37" s="371">
        <f t="shared" si="57"/>
        <v>0</v>
      </c>
    </row>
    <row r="38" spans="1:43">
      <c r="A38" s="369" t="s">
        <v>31</v>
      </c>
      <c r="B38" s="369">
        <f>+K38+S38+AK38</f>
        <v>96.199999999999989</v>
      </c>
      <c r="C38" s="369">
        <f>+L38+T38+AL38</f>
        <v>4631</v>
      </c>
      <c r="D38" s="368">
        <f>SUM(E38:H38)</f>
        <v>3639</v>
      </c>
      <c r="E38" s="369">
        <f t="shared" ref="E38:H39" si="58">+N38+V38+AN38</f>
        <v>262</v>
      </c>
      <c r="F38" s="369">
        <f t="shared" si="58"/>
        <v>770</v>
      </c>
      <c r="G38" s="369">
        <f t="shared" si="58"/>
        <v>362</v>
      </c>
      <c r="H38" s="369">
        <f t="shared" si="58"/>
        <v>2245</v>
      </c>
      <c r="I38" s="367"/>
      <c r="J38" s="369" t="s">
        <v>31</v>
      </c>
      <c r="K38" s="370">
        <f>[1]Rosica!K38+[1]Sevlievo!K38</f>
        <v>55.900000000000006</v>
      </c>
      <c r="L38" s="371">
        <f>[1]Rosica!L38+[1]Sevlievo!L38</f>
        <v>3156</v>
      </c>
      <c r="M38" s="371">
        <f>[1]Rosica!M38+[1]Sevlievo!M38</f>
        <v>2465</v>
      </c>
      <c r="N38" s="371">
        <f>[1]Rosica!N38+[1]Sevlievo!N38</f>
        <v>161</v>
      </c>
      <c r="O38" s="371">
        <f>[1]Rosica!O38+[1]Sevlievo!O38</f>
        <v>623</v>
      </c>
      <c r="P38" s="371">
        <f>[1]Rosica!P38+[1]Sevlievo!P38</f>
        <v>289</v>
      </c>
      <c r="Q38" s="371">
        <f>[1]Rosica!Q38+[1]Sevlievo!Q38</f>
        <v>1392</v>
      </c>
      <c r="R38" s="369" t="s">
        <v>31</v>
      </c>
      <c r="S38" s="370">
        <f>[1]Rosica!S38+[1]Sevlievo!S38</f>
        <v>36.699999999999996</v>
      </c>
      <c r="T38" s="371">
        <f>[1]Rosica!T38+[1]Sevlievo!T38</f>
        <v>1371</v>
      </c>
      <c r="U38" s="371">
        <f>[1]Rosica!U38+[1]Sevlievo!U38</f>
        <v>1053</v>
      </c>
      <c r="V38" s="371">
        <f>[1]Rosica!V38+[1]Sevlievo!V38</f>
        <v>101</v>
      </c>
      <c r="W38" s="371">
        <f>[1]Rosica!W38+[1]Sevlievo!W38</f>
        <v>138</v>
      </c>
      <c r="X38" s="371">
        <f>[1]Rosica!X38+[1]Sevlievo!X38</f>
        <v>57</v>
      </c>
      <c r="Y38" s="371">
        <f>[1]Rosica!Y38+[1]Sevlievo!Y38</f>
        <v>757</v>
      </c>
      <c r="Z38" s="367"/>
      <c r="AA38" s="369" t="s">
        <v>31</v>
      </c>
      <c r="AB38" s="370">
        <f>[1]Rosica!AB38+[1]Sevlievo!AB38</f>
        <v>3.5999999999999996</v>
      </c>
      <c r="AC38" s="371">
        <f>[1]Rosica!AC38+[1]Sevlievo!AC38</f>
        <v>395</v>
      </c>
      <c r="AD38" s="371">
        <f>[1]Rosica!AD38+[1]Sevlievo!AD38</f>
        <v>317</v>
      </c>
      <c r="AE38" s="371">
        <f>[1]Rosica!AE38+[1]Sevlievo!AE38</f>
        <v>68</v>
      </c>
      <c r="AF38" s="371">
        <f>[1]Rosica!AF38+[1]Sevlievo!AF38</f>
        <v>29</v>
      </c>
      <c r="AG38" s="371">
        <f>[1]Rosica!AG38+[1]Sevlievo!AG38</f>
        <v>8</v>
      </c>
      <c r="AH38" s="371">
        <f>[1]Rosica!AH38+[1]Sevlievo!AH38</f>
        <v>212</v>
      </c>
      <c r="AI38" s="367"/>
      <c r="AJ38" s="369" t="s">
        <v>31</v>
      </c>
      <c r="AK38" s="370">
        <f>[1]Rosica!AK38+[1]Sevlievo!AK38</f>
        <v>3.5999999999999996</v>
      </c>
      <c r="AL38" s="371">
        <f>[1]Rosica!AL38+[1]Sevlievo!AL38</f>
        <v>104</v>
      </c>
      <c r="AM38" s="371">
        <f>[1]Rosica!AM38+[1]Sevlievo!AM38</f>
        <v>121</v>
      </c>
      <c r="AN38" s="371">
        <f>[1]Rosica!AN38+[1]Sevlievo!AN38</f>
        <v>0</v>
      </c>
      <c r="AO38" s="371">
        <f>[1]Rosica!AO38+[1]Sevlievo!AO38</f>
        <v>9</v>
      </c>
      <c r="AP38" s="371">
        <f>[1]Rosica!AP38+[1]Sevlievo!AP38</f>
        <v>16</v>
      </c>
      <c r="AQ38" s="371">
        <f>[1]Rosica!AQ38+[1]Sevlievo!AQ38</f>
        <v>96</v>
      </c>
    </row>
    <row r="39" spans="1:43">
      <c r="A39" s="369" t="s">
        <v>32</v>
      </c>
      <c r="B39" s="369">
        <f>+K39+S39+AK39</f>
        <v>74.3</v>
      </c>
      <c r="C39" s="369">
        <f>+L39+T39+AL39</f>
        <v>3927</v>
      </c>
      <c r="D39" s="368">
        <f>SUM(E39:H39)</f>
        <v>3624</v>
      </c>
      <c r="E39" s="369">
        <f t="shared" si="58"/>
        <v>159</v>
      </c>
      <c r="F39" s="369">
        <f t="shared" si="58"/>
        <v>81</v>
      </c>
      <c r="G39" s="369">
        <f t="shared" si="58"/>
        <v>20</v>
      </c>
      <c r="H39" s="369">
        <f t="shared" si="58"/>
        <v>3364</v>
      </c>
      <c r="I39" s="367"/>
      <c r="J39" s="369" t="s">
        <v>32</v>
      </c>
      <c r="K39" s="370">
        <f>[1]Rosica!K39+[1]Sevlievo!K39</f>
        <v>74.3</v>
      </c>
      <c r="L39" s="371">
        <f>[1]Rosica!L39+[1]Sevlievo!L39</f>
        <v>3160</v>
      </c>
      <c r="M39" s="371">
        <f>[1]Rosica!M39+[1]Sevlievo!M39</f>
        <v>2977</v>
      </c>
      <c r="N39" s="371">
        <f>[1]Rosica!N39+[1]Sevlievo!N39</f>
        <v>80</v>
      </c>
      <c r="O39" s="371">
        <f>[1]Rosica!O39+[1]Sevlievo!O39</f>
        <v>57</v>
      </c>
      <c r="P39" s="371">
        <f>[1]Rosica!P39+[1]Sevlievo!P39</f>
        <v>17</v>
      </c>
      <c r="Q39" s="371">
        <f>[1]Rosica!Q39+[1]Sevlievo!Q39</f>
        <v>2823</v>
      </c>
      <c r="R39" s="369" t="s">
        <v>32</v>
      </c>
      <c r="S39" s="370">
        <f>[1]Rosica!S39+[1]Sevlievo!S39</f>
        <v>0</v>
      </c>
      <c r="T39" s="371">
        <f>[1]Rosica!T39+[1]Sevlievo!T39</f>
        <v>758</v>
      </c>
      <c r="U39" s="371">
        <f>[1]Rosica!U39+[1]Sevlievo!U39</f>
        <v>638</v>
      </c>
      <c r="V39" s="371">
        <f>[1]Rosica!V39+[1]Sevlievo!V39</f>
        <v>75</v>
      </c>
      <c r="W39" s="371">
        <f>[1]Rosica!W39+[1]Sevlievo!W39</f>
        <v>24</v>
      </c>
      <c r="X39" s="371">
        <f>[1]Rosica!X39+[1]Sevlievo!X39</f>
        <v>3</v>
      </c>
      <c r="Y39" s="371">
        <f>[1]Rosica!Y39+[1]Sevlievo!Y39</f>
        <v>536</v>
      </c>
      <c r="Z39" s="367"/>
      <c r="AA39" s="369" t="s">
        <v>32</v>
      </c>
      <c r="AB39" s="370">
        <f>[1]Rosica!AB39+[1]Sevlievo!AB39</f>
        <v>0</v>
      </c>
      <c r="AC39" s="371">
        <f>[1]Rosica!AC39+[1]Sevlievo!AC39</f>
        <v>0</v>
      </c>
      <c r="AD39" s="371">
        <f>[1]Rosica!AD39+[1]Sevlievo!AD39</f>
        <v>0</v>
      </c>
      <c r="AE39" s="371">
        <f>[1]Rosica!AE39+[1]Sevlievo!AE39</f>
        <v>0</v>
      </c>
      <c r="AF39" s="371">
        <f>[1]Rosica!AF39+[1]Sevlievo!AF39</f>
        <v>0</v>
      </c>
      <c r="AG39" s="371">
        <f>[1]Rosica!AG39+[1]Sevlievo!AG39</f>
        <v>0</v>
      </c>
      <c r="AH39" s="371">
        <f>[1]Rosica!AH39+[1]Sevlievo!AH39</f>
        <v>0</v>
      </c>
      <c r="AI39" s="367"/>
      <c r="AJ39" s="369" t="s">
        <v>32</v>
      </c>
      <c r="AK39" s="370">
        <f>[1]Rosica!AK39+[1]Sevlievo!AK39</f>
        <v>0</v>
      </c>
      <c r="AL39" s="371">
        <f>[1]Rosica!AL39+[1]Sevlievo!AL39</f>
        <v>9</v>
      </c>
      <c r="AM39" s="371">
        <f>[1]Rosica!AM39+[1]Sevlievo!AM39</f>
        <v>9</v>
      </c>
      <c r="AN39" s="371">
        <f>[1]Rosica!AN39+[1]Sevlievo!AN39</f>
        <v>4</v>
      </c>
      <c r="AO39" s="371">
        <f>[1]Rosica!AO39+[1]Sevlievo!AO39</f>
        <v>0</v>
      </c>
      <c r="AP39" s="371">
        <f>[1]Rosica!AP39+[1]Sevlievo!AP39</f>
        <v>0</v>
      </c>
      <c r="AQ39" s="371">
        <f>[1]Rosica!AQ39+[1]Sevlievo!AQ39</f>
        <v>5</v>
      </c>
    </row>
    <row r="40" spans="1:43">
      <c r="A40" s="369" t="s">
        <v>12</v>
      </c>
      <c r="B40" s="371">
        <f t="shared" ref="B40:H40" si="59">+B39/B38*100</f>
        <v>77.234927234927241</v>
      </c>
      <c r="C40" s="371">
        <f t="shared" si="59"/>
        <v>84.798099762470315</v>
      </c>
      <c r="D40" s="371">
        <f t="shared" si="59"/>
        <v>99.587798845836772</v>
      </c>
      <c r="E40" s="371">
        <f t="shared" si="59"/>
        <v>60.687022900763353</v>
      </c>
      <c r="F40" s="371">
        <f t="shared" si="59"/>
        <v>10.519480519480519</v>
      </c>
      <c r="G40" s="371">
        <f t="shared" si="59"/>
        <v>5.5248618784530388</v>
      </c>
      <c r="H40" s="371">
        <f t="shared" si="59"/>
        <v>149.84409799554567</v>
      </c>
      <c r="I40" s="367"/>
      <c r="J40" s="369" t="s">
        <v>12</v>
      </c>
      <c r="K40" s="371">
        <f t="shared" ref="K40:Q40" si="60">+K39/K38*100</f>
        <v>132.91592128801429</v>
      </c>
      <c r="L40" s="371">
        <f t="shared" si="60"/>
        <v>100.12674271229405</v>
      </c>
      <c r="M40" s="371">
        <f t="shared" si="60"/>
        <v>120.77079107505071</v>
      </c>
      <c r="N40" s="371">
        <f t="shared" si="60"/>
        <v>49.689440993788821</v>
      </c>
      <c r="O40" s="371">
        <f t="shared" si="60"/>
        <v>9.1492776886035312</v>
      </c>
      <c r="P40" s="371">
        <f t="shared" si="60"/>
        <v>5.8823529411764701</v>
      </c>
      <c r="Q40" s="371">
        <f t="shared" si="60"/>
        <v>202.80172413793105</v>
      </c>
      <c r="R40" s="369" t="s">
        <v>12</v>
      </c>
      <c r="S40" s="371">
        <f t="shared" ref="S40:Y40" si="61">+S39/S38*100</f>
        <v>0</v>
      </c>
      <c r="T40" s="371">
        <f t="shared" si="61"/>
        <v>55.288110867979576</v>
      </c>
      <c r="U40" s="371">
        <f t="shared" si="61"/>
        <v>60.588793922127259</v>
      </c>
      <c r="V40" s="371">
        <f t="shared" si="61"/>
        <v>74.257425742574256</v>
      </c>
      <c r="W40" s="371">
        <f t="shared" si="61"/>
        <v>17.391304347826086</v>
      </c>
      <c r="X40" s="371">
        <f t="shared" si="61"/>
        <v>5.2631578947368416</v>
      </c>
      <c r="Y40" s="371">
        <f t="shared" si="61"/>
        <v>70.805812417437252</v>
      </c>
      <c r="Z40" s="367"/>
      <c r="AA40" s="369" t="s">
        <v>12</v>
      </c>
      <c r="AB40" s="371">
        <f t="shared" ref="AB40:AH40" si="62">+AB39/AB38*100</f>
        <v>0</v>
      </c>
      <c r="AC40" s="371">
        <f t="shared" si="62"/>
        <v>0</v>
      </c>
      <c r="AD40" s="371">
        <f t="shared" si="62"/>
        <v>0</v>
      </c>
      <c r="AE40" s="371">
        <f t="shared" si="62"/>
        <v>0</v>
      </c>
      <c r="AF40" s="371">
        <f t="shared" si="62"/>
        <v>0</v>
      </c>
      <c r="AG40" s="371">
        <f t="shared" si="62"/>
        <v>0</v>
      </c>
      <c r="AH40" s="371">
        <f t="shared" si="62"/>
        <v>0</v>
      </c>
      <c r="AI40" s="367"/>
      <c r="AJ40" s="369" t="s">
        <v>12</v>
      </c>
      <c r="AK40" s="371">
        <f t="shared" ref="AK40:AQ40" si="63">+AK39/AK38*100</f>
        <v>0</v>
      </c>
      <c r="AL40" s="371">
        <f t="shared" si="63"/>
        <v>8.6538461538461533</v>
      </c>
      <c r="AM40" s="371">
        <f t="shared" si="63"/>
        <v>7.4380165289256199</v>
      </c>
      <c r="AN40" s="371" t="e">
        <f t="shared" si="63"/>
        <v>#DIV/0!</v>
      </c>
      <c r="AO40" s="371">
        <f t="shared" si="63"/>
        <v>0</v>
      </c>
      <c r="AP40" s="371">
        <f t="shared" si="63"/>
        <v>0</v>
      </c>
      <c r="AQ40" s="371">
        <f t="shared" si="63"/>
        <v>5.2083333333333339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  <c r="K43" s="25"/>
      <c r="L43" s="25"/>
      <c r="M43" s="25"/>
      <c r="N43" s="25"/>
      <c r="O43" s="25"/>
      <c r="P43" s="25"/>
      <c r="Q43" s="25"/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64">K9+S9+AK9</f>
        <v>1219</v>
      </c>
      <c r="C46" s="83">
        <f t="shared" si="64"/>
        <v>72004</v>
      </c>
      <c r="D46" s="83">
        <f t="shared" si="64"/>
        <v>54864</v>
      </c>
      <c r="E46" s="83">
        <f t="shared" si="64"/>
        <v>9579</v>
      </c>
      <c r="F46" s="83">
        <f t="shared" si="64"/>
        <v>11259</v>
      </c>
      <c r="G46" s="83">
        <f t="shared" si="64"/>
        <v>5706</v>
      </c>
      <c r="H46" s="83">
        <f t="shared" si="64"/>
        <v>28320</v>
      </c>
    </row>
    <row r="47" spans="1:43">
      <c r="A47" s="84" t="s">
        <v>50</v>
      </c>
      <c r="B47" s="83">
        <f t="shared" si="64"/>
        <v>769.48</v>
      </c>
      <c r="C47" s="83">
        <f t="shared" si="64"/>
        <v>50445</v>
      </c>
      <c r="D47" s="83">
        <f t="shared" si="64"/>
        <v>43935</v>
      </c>
      <c r="E47" s="83">
        <f t="shared" si="64"/>
        <v>8871</v>
      </c>
      <c r="F47" s="83">
        <f t="shared" si="64"/>
        <v>5337</v>
      </c>
      <c r="G47" s="83">
        <f t="shared" si="64"/>
        <v>1152</v>
      </c>
      <c r="H47" s="83">
        <f t="shared" si="64"/>
        <v>28575</v>
      </c>
    </row>
    <row r="48" spans="1:43">
      <c r="A48" s="85" t="s">
        <v>44</v>
      </c>
      <c r="B48" s="86">
        <f>B47/B46*100</f>
        <v>63.123872026251028</v>
      </c>
      <c r="C48" s="86">
        <f t="shared" ref="C48:H48" si="65">C47/C46*100</f>
        <v>70.058607855119163</v>
      </c>
      <c r="D48" s="86">
        <f t="shared" si="65"/>
        <v>80.079833770778649</v>
      </c>
      <c r="E48" s="86">
        <f t="shared" si="65"/>
        <v>92.608831819605385</v>
      </c>
      <c r="F48" s="86">
        <f t="shared" si="65"/>
        <v>47.402078337330131</v>
      </c>
      <c r="G48" s="86">
        <f t="shared" si="65"/>
        <v>20.189274447949526</v>
      </c>
      <c r="H48" s="86">
        <f t="shared" si="65"/>
        <v>100.90042372881356</v>
      </c>
    </row>
    <row r="49" spans="1:17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17">
      <c r="A50" s="75" t="s">
        <v>40</v>
      </c>
      <c r="B50" s="90">
        <f t="shared" ref="B50:H51" si="66">K13+S13+AK13</f>
        <v>224.90000000000003</v>
      </c>
      <c r="C50" s="90">
        <f t="shared" si="66"/>
        <v>22088</v>
      </c>
      <c r="D50" s="90">
        <f t="shared" si="66"/>
        <v>14104</v>
      </c>
      <c r="E50" s="90">
        <f t="shared" si="66"/>
        <v>1893</v>
      </c>
      <c r="F50" s="90">
        <f t="shared" si="66"/>
        <v>5367</v>
      </c>
      <c r="G50" s="90">
        <f t="shared" si="66"/>
        <v>3381</v>
      </c>
      <c r="H50" s="90">
        <f t="shared" si="66"/>
        <v>3463</v>
      </c>
      <c r="J50" s="94"/>
      <c r="K50" s="94"/>
      <c r="L50" s="94"/>
      <c r="M50" s="94"/>
      <c r="N50" s="94"/>
      <c r="O50" s="94"/>
      <c r="P50" s="94"/>
      <c r="Q50" s="94"/>
    </row>
    <row r="51" spans="1:17">
      <c r="A51" s="75" t="s">
        <v>50</v>
      </c>
      <c r="B51" s="90">
        <f t="shared" si="66"/>
        <v>188.8</v>
      </c>
      <c r="C51" s="90">
        <f t="shared" si="66"/>
        <v>17963</v>
      </c>
      <c r="D51" s="90">
        <f t="shared" si="66"/>
        <v>14951</v>
      </c>
      <c r="E51" s="90">
        <f t="shared" si="66"/>
        <v>4549</v>
      </c>
      <c r="F51" s="90">
        <f t="shared" si="66"/>
        <v>3021</v>
      </c>
      <c r="G51" s="90">
        <f t="shared" si="66"/>
        <v>557</v>
      </c>
      <c r="H51" s="90">
        <f t="shared" si="66"/>
        <v>6824</v>
      </c>
      <c r="J51" s="21"/>
      <c r="K51" s="21"/>
      <c r="L51" s="21"/>
      <c r="M51" s="21"/>
      <c r="N51" s="21"/>
      <c r="O51" s="21"/>
      <c r="P51" s="21"/>
    </row>
    <row r="52" spans="1:17">
      <c r="A52" s="75" t="s">
        <v>44</v>
      </c>
      <c r="B52" s="91">
        <f t="shared" ref="B52:H52" si="67">B51/B50*100</f>
        <v>83.948421520675851</v>
      </c>
      <c r="C52" s="91">
        <f t="shared" si="67"/>
        <v>81.324701195219134</v>
      </c>
      <c r="D52" s="91">
        <f t="shared" si="67"/>
        <v>106.00538854225752</v>
      </c>
      <c r="E52" s="91">
        <f t="shared" si="67"/>
        <v>240.30639197041731</v>
      </c>
      <c r="F52" s="91">
        <f t="shared" si="67"/>
        <v>56.288429290106201</v>
      </c>
      <c r="G52" s="91">
        <f t="shared" si="67"/>
        <v>16.474415853297842</v>
      </c>
      <c r="H52" s="91">
        <f t="shared" si="67"/>
        <v>197.05457695639618</v>
      </c>
    </row>
    <row r="53" spans="1:17">
      <c r="A53" s="75" t="s">
        <v>13</v>
      </c>
      <c r="B53" s="90">
        <f t="shared" ref="B53:H55" si="68">K16+S16+AK16</f>
        <v>68.699999999999989</v>
      </c>
      <c r="C53" s="90">
        <f t="shared" si="68"/>
        <v>5075</v>
      </c>
      <c r="D53" s="90">
        <f t="shared" si="68"/>
        <v>4377</v>
      </c>
      <c r="E53" s="90">
        <f t="shared" si="68"/>
        <v>2024</v>
      </c>
      <c r="F53" s="90">
        <f t="shared" si="68"/>
        <v>946</v>
      </c>
      <c r="G53" s="90">
        <f t="shared" si="68"/>
        <v>28</v>
      </c>
      <c r="H53" s="90">
        <f t="shared" si="68"/>
        <v>1377</v>
      </c>
    </row>
    <row r="54" spans="1:17">
      <c r="A54" s="92" t="s">
        <v>14</v>
      </c>
      <c r="B54" s="90">
        <f t="shared" si="68"/>
        <v>14.5</v>
      </c>
      <c r="C54" s="90">
        <f t="shared" si="68"/>
        <v>2185</v>
      </c>
      <c r="D54" s="90">
        <f t="shared" si="68"/>
        <v>1782</v>
      </c>
      <c r="E54" s="90">
        <f t="shared" si="68"/>
        <v>582</v>
      </c>
      <c r="F54" s="90">
        <f t="shared" si="68"/>
        <v>240</v>
      </c>
      <c r="G54" s="90">
        <f t="shared" si="68"/>
        <v>56</v>
      </c>
      <c r="H54" s="90">
        <f t="shared" si="68"/>
        <v>904</v>
      </c>
      <c r="J54" s="94"/>
    </row>
    <row r="55" spans="1:17">
      <c r="A55" s="75" t="s">
        <v>15</v>
      </c>
      <c r="B55" s="90">
        <f t="shared" si="68"/>
        <v>0</v>
      </c>
      <c r="C55" s="90">
        <f t="shared" si="68"/>
        <v>7</v>
      </c>
      <c r="D55" s="90">
        <f t="shared" si="68"/>
        <v>6</v>
      </c>
      <c r="E55" s="90">
        <f t="shared" si="68"/>
        <v>0</v>
      </c>
      <c r="F55" s="90">
        <f t="shared" si="68"/>
        <v>0</v>
      </c>
      <c r="G55" s="90">
        <f t="shared" si="68"/>
        <v>0</v>
      </c>
      <c r="H55" s="90">
        <f t="shared" si="68"/>
        <v>0</v>
      </c>
    </row>
    <row r="56" spans="1:17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17">
      <c r="A57" s="75" t="s">
        <v>40</v>
      </c>
      <c r="B57" s="90">
        <f t="shared" ref="B57:H58" si="69">K20+S20+AK20</f>
        <v>994.10000000000014</v>
      </c>
      <c r="C57" s="90">
        <f t="shared" si="69"/>
        <v>49916</v>
      </c>
      <c r="D57" s="90">
        <f t="shared" si="69"/>
        <v>40760</v>
      </c>
      <c r="E57" s="90">
        <f t="shared" si="69"/>
        <v>7686</v>
      </c>
      <c r="F57" s="90">
        <f t="shared" si="69"/>
        <v>5892</v>
      </c>
      <c r="G57" s="90">
        <f t="shared" si="69"/>
        <v>2325</v>
      </c>
      <c r="H57" s="90">
        <f t="shared" si="69"/>
        <v>24857</v>
      </c>
    </row>
    <row r="58" spans="1:17">
      <c r="A58" s="92" t="s">
        <v>50</v>
      </c>
      <c r="B58" s="90">
        <f t="shared" si="69"/>
        <v>580.68000000000006</v>
      </c>
      <c r="C58" s="90">
        <f t="shared" si="69"/>
        <v>32482</v>
      </c>
      <c r="D58" s="90">
        <f t="shared" si="69"/>
        <v>28984</v>
      </c>
      <c r="E58" s="90">
        <f t="shared" si="69"/>
        <v>4322</v>
      </c>
      <c r="F58" s="90">
        <f t="shared" si="69"/>
        <v>2316</v>
      </c>
      <c r="G58" s="90">
        <f t="shared" si="69"/>
        <v>595</v>
      </c>
      <c r="H58" s="90">
        <f t="shared" si="69"/>
        <v>21751</v>
      </c>
    </row>
    <row r="59" spans="1:17">
      <c r="A59" s="75" t="s">
        <v>44</v>
      </c>
      <c r="B59" s="91">
        <f t="shared" ref="B59:H59" si="70">B58/B57*100</f>
        <v>58.412634543808473</v>
      </c>
      <c r="C59" s="91">
        <f t="shared" si="70"/>
        <v>65.073323182947348</v>
      </c>
      <c r="D59" s="91">
        <f t="shared" si="70"/>
        <v>71.108930323846906</v>
      </c>
      <c r="E59" s="91">
        <f t="shared" si="70"/>
        <v>56.232110330470988</v>
      </c>
      <c r="F59" s="91">
        <f t="shared" si="70"/>
        <v>39.307535641547865</v>
      </c>
      <c r="G59" s="91">
        <f t="shared" si="70"/>
        <v>25.591397849462368</v>
      </c>
      <c r="H59" s="91">
        <f t="shared" si="70"/>
        <v>87.504525888079826</v>
      </c>
    </row>
    <row r="60" spans="1:17">
      <c r="A60" s="75" t="s">
        <v>21</v>
      </c>
      <c r="B60" s="90">
        <f t="shared" ref="B60:H61" si="71">K23+S23+AK23</f>
        <v>539.19999999999993</v>
      </c>
      <c r="C60" s="90">
        <f t="shared" si="71"/>
        <v>30524</v>
      </c>
      <c r="D60" s="90">
        <f t="shared" si="71"/>
        <v>23988</v>
      </c>
      <c r="E60" s="90">
        <f t="shared" si="71"/>
        <v>6844</v>
      </c>
      <c r="F60" s="90">
        <f t="shared" si="71"/>
        <v>2781</v>
      </c>
      <c r="G60" s="90">
        <f t="shared" si="71"/>
        <v>1469</v>
      </c>
      <c r="H60" s="90">
        <f t="shared" si="71"/>
        <v>12894</v>
      </c>
    </row>
    <row r="61" spans="1:17">
      <c r="A61" s="75" t="s">
        <v>51</v>
      </c>
      <c r="B61" s="90">
        <f t="shared" si="71"/>
        <v>232.88</v>
      </c>
      <c r="C61" s="90">
        <f t="shared" si="71"/>
        <v>16203</v>
      </c>
      <c r="D61" s="90">
        <f t="shared" si="71"/>
        <v>14186</v>
      </c>
      <c r="E61" s="90">
        <f t="shared" si="71"/>
        <v>4003</v>
      </c>
      <c r="F61" s="90">
        <f t="shared" si="71"/>
        <v>1365</v>
      </c>
      <c r="G61" s="90">
        <f t="shared" si="71"/>
        <v>227</v>
      </c>
      <c r="H61" s="90">
        <f t="shared" si="71"/>
        <v>8591</v>
      </c>
    </row>
    <row r="62" spans="1:17">
      <c r="A62" s="75" t="s">
        <v>12</v>
      </c>
      <c r="B62" s="91">
        <f t="shared" ref="B62:H62" si="72">B61/B60*100</f>
        <v>43.189910979228493</v>
      </c>
      <c r="C62" s="91">
        <f t="shared" si="72"/>
        <v>53.082820076005767</v>
      </c>
      <c r="D62" s="91">
        <f t="shared" si="72"/>
        <v>59.137902284475572</v>
      </c>
      <c r="E62" s="91">
        <f t="shared" si="72"/>
        <v>58.489187609585038</v>
      </c>
      <c r="F62" s="91">
        <f t="shared" si="72"/>
        <v>49.083063646170444</v>
      </c>
      <c r="G62" s="91">
        <f t="shared" si="72"/>
        <v>15.452688904016338</v>
      </c>
      <c r="H62" s="91">
        <f t="shared" si="72"/>
        <v>66.627888940592527</v>
      </c>
    </row>
    <row r="63" spans="1:17">
      <c r="A63" s="75" t="s">
        <v>23</v>
      </c>
      <c r="B63" s="90">
        <f t="shared" ref="B63:H64" si="73">K26+S26+AK26</f>
        <v>72.8</v>
      </c>
      <c r="C63" s="90">
        <f t="shared" si="73"/>
        <v>1979</v>
      </c>
      <c r="D63" s="90">
        <f t="shared" si="73"/>
        <v>1738</v>
      </c>
      <c r="E63" s="90">
        <f t="shared" si="73"/>
        <v>16</v>
      </c>
      <c r="F63" s="90">
        <f t="shared" si="73"/>
        <v>382</v>
      </c>
      <c r="G63" s="90">
        <f t="shared" si="73"/>
        <v>95</v>
      </c>
      <c r="H63" s="90">
        <f t="shared" si="73"/>
        <v>1245</v>
      </c>
    </row>
    <row r="64" spans="1:17">
      <c r="A64" s="75" t="s">
        <v>45</v>
      </c>
      <c r="B64" s="90">
        <f t="shared" si="73"/>
        <v>6.8999999999999995</v>
      </c>
      <c r="C64" s="90">
        <f t="shared" si="73"/>
        <v>963</v>
      </c>
      <c r="D64" s="90">
        <f t="shared" si="73"/>
        <v>869</v>
      </c>
      <c r="E64" s="90">
        <f t="shared" si="73"/>
        <v>148</v>
      </c>
      <c r="F64" s="90">
        <f t="shared" si="73"/>
        <v>20</v>
      </c>
      <c r="G64" s="90">
        <f t="shared" si="73"/>
        <v>0</v>
      </c>
      <c r="H64" s="90">
        <f t="shared" si="73"/>
        <v>701</v>
      </c>
    </row>
    <row r="65" spans="1:8">
      <c r="A65" s="75" t="s">
        <v>12</v>
      </c>
      <c r="B65" s="91">
        <f t="shared" ref="B65:H65" si="74">B64/B63*100</f>
        <v>9.4780219780219781</v>
      </c>
      <c r="C65" s="91">
        <f t="shared" si="74"/>
        <v>48.660939868620517</v>
      </c>
      <c r="D65" s="91">
        <f t="shared" si="74"/>
        <v>50</v>
      </c>
      <c r="E65" s="91">
        <f t="shared" si="74"/>
        <v>925</v>
      </c>
      <c r="F65" s="91">
        <f t="shared" si="74"/>
        <v>5.2356020942408374</v>
      </c>
      <c r="G65" s="91">
        <f t="shared" si="74"/>
        <v>0</v>
      </c>
      <c r="H65" s="91">
        <f t="shared" si="74"/>
        <v>56.305220883534133</v>
      </c>
    </row>
    <row r="66" spans="1:8">
      <c r="A66" s="75" t="s">
        <v>25</v>
      </c>
      <c r="B66" s="90">
        <f t="shared" ref="B66:H67" si="75">K29+S29+AK29</f>
        <v>175.20000000000002</v>
      </c>
      <c r="C66" s="90">
        <f t="shared" si="75"/>
        <v>5045</v>
      </c>
      <c r="D66" s="90">
        <f t="shared" si="75"/>
        <v>4396</v>
      </c>
      <c r="E66" s="90">
        <f t="shared" si="75"/>
        <v>238</v>
      </c>
      <c r="F66" s="90">
        <f t="shared" si="75"/>
        <v>731</v>
      </c>
      <c r="G66" s="90">
        <f t="shared" si="75"/>
        <v>78</v>
      </c>
      <c r="H66" s="90">
        <f t="shared" si="75"/>
        <v>3349</v>
      </c>
    </row>
    <row r="67" spans="1:8">
      <c r="A67" s="75" t="s">
        <v>46</v>
      </c>
      <c r="B67" s="90">
        <f t="shared" si="75"/>
        <v>202.5</v>
      </c>
      <c r="C67" s="90">
        <f t="shared" si="75"/>
        <v>6251</v>
      </c>
      <c r="D67" s="90">
        <f t="shared" si="75"/>
        <v>5578</v>
      </c>
      <c r="E67" s="90">
        <f t="shared" si="75"/>
        <v>2</v>
      </c>
      <c r="F67" s="90">
        <f t="shared" si="75"/>
        <v>158</v>
      </c>
      <c r="G67" s="90">
        <f t="shared" si="75"/>
        <v>4</v>
      </c>
      <c r="H67" s="90">
        <f t="shared" si="75"/>
        <v>5414</v>
      </c>
    </row>
    <row r="68" spans="1:8">
      <c r="A68" s="75" t="s">
        <v>12</v>
      </c>
      <c r="B68" s="91">
        <f t="shared" ref="B68:H68" si="76">B67/B66*100</f>
        <v>115.5821917808219</v>
      </c>
      <c r="C68" s="91">
        <f t="shared" si="76"/>
        <v>123.90485629335977</v>
      </c>
      <c r="D68" s="91">
        <f t="shared" si="76"/>
        <v>126.88808007279344</v>
      </c>
      <c r="E68" s="91">
        <f t="shared" si="76"/>
        <v>0.84033613445378152</v>
      </c>
      <c r="F68" s="91">
        <f t="shared" si="76"/>
        <v>21.614227086183309</v>
      </c>
      <c r="G68" s="91">
        <f t="shared" si="76"/>
        <v>5.1282051282051277</v>
      </c>
      <c r="H68" s="91">
        <f t="shared" si="76"/>
        <v>161.66019707375335</v>
      </c>
    </row>
    <row r="69" spans="1:8">
      <c r="A69" s="75" t="s">
        <v>27</v>
      </c>
      <c r="B69" s="90">
        <f t="shared" ref="B69:H70" si="77">K32+S32+AK32</f>
        <v>3.3</v>
      </c>
      <c r="C69" s="90">
        <f t="shared" si="77"/>
        <v>461</v>
      </c>
      <c r="D69" s="90">
        <f t="shared" si="77"/>
        <v>397</v>
      </c>
      <c r="E69" s="90">
        <f t="shared" si="77"/>
        <v>215</v>
      </c>
      <c r="F69" s="90">
        <f t="shared" si="77"/>
        <v>29</v>
      </c>
      <c r="G69" s="90">
        <f t="shared" si="77"/>
        <v>9</v>
      </c>
      <c r="H69" s="90">
        <f t="shared" si="77"/>
        <v>144</v>
      </c>
    </row>
    <row r="70" spans="1:8">
      <c r="A70" s="75" t="s">
        <v>47</v>
      </c>
      <c r="B70" s="90">
        <f t="shared" si="77"/>
        <v>0</v>
      </c>
      <c r="C70" s="90">
        <f t="shared" si="77"/>
        <v>0</v>
      </c>
      <c r="D70" s="90">
        <f t="shared" si="77"/>
        <v>0</v>
      </c>
      <c r="E70" s="90">
        <f t="shared" si="77"/>
        <v>0</v>
      </c>
      <c r="F70" s="90">
        <f t="shared" si="77"/>
        <v>0</v>
      </c>
      <c r="G70" s="90">
        <f t="shared" si="77"/>
        <v>0</v>
      </c>
      <c r="H70" s="90">
        <f t="shared" si="77"/>
        <v>0</v>
      </c>
    </row>
    <row r="71" spans="1:8">
      <c r="A71" s="75" t="s">
        <v>12</v>
      </c>
      <c r="B71" s="91">
        <f t="shared" ref="B71:H71" si="78">B70/B69*100</f>
        <v>0</v>
      </c>
      <c r="C71" s="91">
        <f t="shared" si="78"/>
        <v>0</v>
      </c>
      <c r="D71" s="91">
        <f t="shared" si="78"/>
        <v>0</v>
      </c>
      <c r="E71" s="91">
        <f t="shared" si="78"/>
        <v>0</v>
      </c>
      <c r="F71" s="91">
        <f t="shared" si="78"/>
        <v>0</v>
      </c>
      <c r="G71" s="91">
        <f t="shared" si="78"/>
        <v>0</v>
      </c>
      <c r="H71" s="91">
        <f t="shared" si="78"/>
        <v>0</v>
      </c>
    </row>
    <row r="72" spans="1:8">
      <c r="A72" s="75" t="s">
        <v>29</v>
      </c>
      <c r="B72" s="90">
        <f t="shared" ref="B72:H73" si="79">K35+S35+AK35</f>
        <v>107.39999999999999</v>
      </c>
      <c r="C72" s="90">
        <f t="shared" si="79"/>
        <v>7276</v>
      </c>
      <c r="D72" s="90">
        <f t="shared" si="79"/>
        <v>6602</v>
      </c>
      <c r="E72" s="90">
        <f t="shared" si="79"/>
        <v>111</v>
      </c>
      <c r="F72" s="90">
        <f t="shared" si="79"/>
        <v>1199</v>
      </c>
      <c r="G72" s="90">
        <f t="shared" si="79"/>
        <v>312</v>
      </c>
      <c r="H72" s="90">
        <f t="shared" si="79"/>
        <v>4980</v>
      </c>
    </row>
    <row r="73" spans="1:8">
      <c r="A73" s="75" t="s">
        <v>48</v>
      </c>
      <c r="B73" s="90">
        <f t="shared" si="79"/>
        <v>64.100000000000009</v>
      </c>
      <c r="C73" s="90">
        <f t="shared" si="79"/>
        <v>5138</v>
      </c>
      <c r="D73" s="90">
        <f t="shared" si="79"/>
        <v>4727</v>
      </c>
      <c r="E73" s="90">
        <f t="shared" si="79"/>
        <v>10</v>
      </c>
      <c r="F73" s="90">
        <f t="shared" si="79"/>
        <v>692</v>
      </c>
      <c r="G73" s="90">
        <f t="shared" si="79"/>
        <v>344</v>
      </c>
      <c r="H73" s="90">
        <f t="shared" si="79"/>
        <v>3681</v>
      </c>
    </row>
    <row r="74" spans="1:8">
      <c r="A74" s="75" t="s">
        <v>12</v>
      </c>
      <c r="B74" s="91">
        <f t="shared" ref="B74:H74" si="80">B73/B72*100</f>
        <v>59.68342644320299</v>
      </c>
      <c r="C74" s="91">
        <f t="shared" si="80"/>
        <v>70.615722924683894</v>
      </c>
      <c r="D74" s="91">
        <f t="shared" si="80"/>
        <v>71.599515298394422</v>
      </c>
      <c r="E74" s="91">
        <f t="shared" si="80"/>
        <v>9.0090090090090094</v>
      </c>
      <c r="F74" s="91">
        <f t="shared" si="80"/>
        <v>57.714762301918263</v>
      </c>
      <c r="G74" s="91">
        <f t="shared" si="80"/>
        <v>110.25641025641026</v>
      </c>
      <c r="H74" s="91">
        <f t="shared" si="80"/>
        <v>73.915662650602414</v>
      </c>
    </row>
    <row r="75" spans="1:8">
      <c r="A75" s="75" t="s">
        <v>31</v>
      </c>
      <c r="B75" s="90">
        <f t="shared" ref="B75:H76" si="81">K38+S38+AK38</f>
        <v>96.199999999999989</v>
      </c>
      <c r="C75" s="90">
        <f t="shared" si="81"/>
        <v>4631</v>
      </c>
      <c r="D75" s="90">
        <f t="shared" si="81"/>
        <v>3639</v>
      </c>
      <c r="E75" s="90">
        <f t="shared" si="81"/>
        <v>262</v>
      </c>
      <c r="F75" s="90">
        <f t="shared" si="81"/>
        <v>770</v>
      </c>
      <c r="G75" s="90">
        <f t="shared" si="81"/>
        <v>362</v>
      </c>
      <c r="H75" s="90">
        <f t="shared" si="81"/>
        <v>2245</v>
      </c>
    </row>
    <row r="76" spans="1:8">
      <c r="A76" s="75" t="s">
        <v>52</v>
      </c>
      <c r="B76" s="90">
        <f t="shared" si="81"/>
        <v>74.3</v>
      </c>
      <c r="C76" s="90">
        <f t="shared" si="81"/>
        <v>3927</v>
      </c>
      <c r="D76" s="90">
        <f t="shared" si="81"/>
        <v>3624</v>
      </c>
      <c r="E76" s="90">
        <f t="shared" si="81"/>
        <v>159</v>
      </c>
      <c r="F76" s="90">
        <f t="shared" si="81"/>
        <v>81</v>
      </c>
      <c r="G76" s="90">
        <f t="shared" si="81"/>
        <v>20</v>
      </c>
      <c r="H76" s="90">
        <f t="shared" si="81"/>
        <v>3364</v>
      </c>
    </row>
    <row r="77" spans="1:8">
      <c r="A77" s="75" t="s">
        <v>12</v>
      </c>
      <c r="B77" s="91">
        <f t="shared" ref="B77:H77" si="82">B76/B75*100</f>
        <v>77.234927234927241</v>
      </c>
      <c r="C77" s="91">
        <f t="shared" si="82"/>
        <v>84.798099762470315</v>
      </c>
      <c r="D77" s="91">
        <f t="shared" si="82"/>
        <v>99.587798845836772</v>
      </c>
      <c r="E77" s="91">
        <f t="shared" si="82"/>
        <v>60.687022900763353</v>
      </c>
      <c r="F77" s="91">
        <f t="shared" si="82"/>
        <v>10.519480519480519</v>
      </c>
      <c r="G77" s="91">
        <f t="shared" si="82"/>
        <v>5.5248618784530388</v>
      </c>
      <c r="H77" s="91">
        <f t="shared" si="82"/>
        <v>149.84409799554567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3">B9-B46</f>
        <v>0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0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0</v>
      </c>
      <c r="C85" s="83">
        <f t="shared" si="83"/>
        <v>0</v>
      </c>
      <c r="D85" s="83">
        <f t="shared" si="83"/>
        <v>0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-2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-6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0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0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>
        <f t="shared" ref="B99:H114" si="84">B25-B62</f>
        <v>0</v>
      </c>
      <c r="C99" s="83">
        <f t="shared" si="84"/>
        <v>0</v>
      </c>
      <c r="D99" s="83">
        <f t="shared" si="84"/>
        <v>0</v>
      </c>
      <c r="E99" s="83">
        <f t="shared" si="84"/>
        <v>0</v>
      </c>
      <c r="F99" s="83">
        <f t="shared" si="84"/>
        <v>0</v>
      </c>
      <c r="G99" s="83">
        <f t="shared" si="84"/>
        <v>0</v>
      </c>
      <c r="H99" s="83">
        <f t="shared" si="84"/>
        <v>0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>
        <f t="shared" si="84"/>
        <v>0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0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0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8">
    <mergeCell ref="AA8:AH8"/>
    <mergeCell ref="AJ8:AQ8"/>
    <mergeCell ref="A12:H12"/>
    <mergeCell ref="J12:Q12"/>
    <mergeCell ref="R12:Y12"/>
    <mergeCell ref="AA12:AH12"/>
    <mergeCell ref="AJ12:AQ12"/>
    <mergeCell ref="A8:H8"/>
    <mergeCell ref="AJ19:AQ19"/>
    <mergeCell ref="A19:H19"/>
    <mergeCell ref="J19:Q19"/>
    <mergeCell ref="R19:Y19"/>
    <mergeCell ref="AA19:AH19"/>
    <mergeCell ref="J8:Q8"/>
    <mergeCell ref="R8:Y8"/>
    <mergeCell ref="B1:H1"/>
    <mergeCell ref="B2:H2"/>
    <mergeCell ref="A4:H4"/>
  </mergeCells>
  <phoneticPr fontId="17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7"/>
  <dimension ref="A1:AR114"/>
  <sheetViews>
    <sheetView zoomScale="70" zoomScaleNormal="70" workbookViewId="0">
      <selection activeCell="M17" sqref="M17"/>
    </sheetView>
  </sheetViews>
  <sheetFormatPr defaultRowHeight="13.2"/>
  <cols>
    <col min="1" max="1" width="14.5546875" customWidth="1"/>
    <col min="2" max="2" width="7.109375" customWidth="1"/>
    <col min="3" max="3" width="8" customWidth="1"/>
    <col min="5" max="5" width="7.5546875" customWidth="1"/>
    <col min="6" max="6" width="7.33203125" customWidth="1"/>
    <col min="7" max="8" width="7.88671875" customWidth="1"/>
    <col min="9" max="9" width="5.33203125" customWidth="1"/>
    <col min="10" max="10" width="15" customWidth="1"/>
    <col min="11" max="11" width="7.5546875" customWidth="1"/>
    <col min="12" max="12" width="7.6640625" customWidth="1"/>
    <col min="14" max="14" width="6.88671875" customWidth="1"/>
    <col min="15" max="15" width="7.6640625" customWidth="1"/>
    <col min="16" max="16" width="8" customWidth="1"/>
    <col min="17" max="17" width="7.6640625" customWidth="1"/>
    <col min="18" max="18" width="14.33203125" customWidth="1"/>
    <col min="19" max="19" width="7.33203125" customWidth="1"/>
    <col min="20" max="20" width="8" customWidth="1"/>
    <col min="22" max="22" width="6.88671875" customWidth="1"/>
    <col min="23" max="23" width="7.5546875" customWidth="1"/>
    <col min="24" max="24" width="7.88671875" customWidth="1"/>
    <col min="25" max="25" width="6.88671875" customWidth="1"/>
    <col min="26" max="26" width="5.88671875" customWidth="1"/>
    <col min="27" max="27" width="15.33203125" bestFit="1" customWidth="1"/>
    <col min="28" max="28" width="7.33203125" customWidth="1"/>
    <col min="29" max="29" width="7.88671875" customWidth="1"/>
    <col min="31" max="31" width="7.33203125" customWidth="1"/>
    <col min="32" max="32" width="8" customWidth="1"/>
    <col min="33" max="33" width="7.109375" customWidth="1"/>
    <col min="34" max="34" width="8.109375" customWidth="1"/>
    <col min="36" max="36" width="10.88671875" customWidth="1"/>
  </cols>
  <sheetData>
    <row r="1" spans="1:44" s="12" customFormat="1" ht="18.75" customHeight="1">
      <c r="A1" s="37"/>
      <c r="B1" s="37"/>
      <c r="C1" s="37"/>
      <c r="D1" s="37"/>
      <c r="E1" s="37"/>
      <c r="F1" s="37"/>
      <c r="G1" s="37"/>
      <c r="H1" s="37"/>
      <c r="I1"/>
      <c r="K1" s="37"/>
      <c r="L1" s="37"/>
      <c r="M1" s="37"/>
      <c r="N1" s="37"/>
      <c r="O1" s="37"/>
      <c r="P1" s="37"/>
      <c r="Q1" s="38" t="s">
        <v>33</v>
      </c>
    </row>
    <row r="2" spans="1:44" s="12" customFormat="1" ht="29.25" customHeight="1">
      <c r="H2" s="39" t="s">
        <v>34</v>
      </c>
      <c r="I2"/>
    </row>
    <row r="3" spans="1:44" s="37" customFormat="1" ht="21" customHeight="1">
      <c r="A3" s="12"/>
      <c r="B3" s="12"/>
      <c r="C3" s="12"/>
      <c r="D3" s="12"/>
      <c r="E3" s="12"/>
      <c r="F3" s="12"/>
      <c r="G3" s="12"/>
      <c r="H3" s="39" t="s">
        <v>58</v>
      </c>
      <c r="I3"/>
      <c r="J3" s="40"/>
      <c r="K3" s="12"/>
      <c r="L3" s="12"/>
      <c r="M3" s="12"/>
      <c r="N3" s="12"/>
      <c r="O3" s="12"/>
      <c r="P3" s="12"/>
      <c r="Q3" s="12"/>
    </row>
    <row r="4" spans="1:44" ht="15.6">
      <c r="A4" s="465" t="s">
        <v>75</v>
      </c>
      <c r="B4" s="465"/>
      <c r="C4" s="465"/>
      <c r="D4" s="465"/>
      <c r="E4" s="465"/>
      <c r="F4" s="465"/>
      <c r="G4" s="465"/>
      <c r="H4" s="465"/>
      <c r="I4" s="511" t="s">
        <v>76</v>
      </c>
      <c r="J4" s="511"/>
      <c r="K4" s="511"/>
      <c r="L4" s="511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4" ht="15.75" customHeight="1">
      <c r="A5" s="13" t="s">
        <v>35</v>
      </c>
      <c r="B5" s="1"/>
      <c r="C5" s="512"/>
      <c r="D5" s="512"/>
      <c r="E5" s="512"/>
      <c r="F5" s="512"/>
      <c r="G5" s="512"/>
      <c r="H5" s="512"/>
      <c r="I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4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109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</row>
    <row r="7" spans="1:44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109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</row>
    <row r="8" spans="1:44">
      <c r="A8" s="473" t="s">
        <v>17</v>
      </c>
      <c r="B8" s="473"/>
      <c r="C8" s="473"/>
      <c r="D8" s="473"/>
      <c r="E8" s="473"/>
      <c r="F8" s="473"/>
      <c r="G8" s="473"/>
      <c r="H8" s="473"/>
      <c r="I8" s="188"/>
      <c r="J8" s="473" t="s">
        <v>17</v>
      </c>
      <c r="K8" s="473"/>
      <c r="L8" s="473"/>
      <c r="M8" s="473"/>
      <c r="N8" s="473"/>
      <c r="O8" s="473"/>
      <c r="P8" s="473"/>
      <c r="Q8" s="473"/>
      <c r="R8" s="473" t="s">
        <v>17</v>
      </c>
      <c r="S8" s="473"/>
      <c r="T8" s="473"/>
      <c r="U8" s="473"/>
      <c r="V8" s="473"/>
      <c r="W8" s="473"/>
      <c r="X8" s="473"/>
      <c r="Y8" s="473"/>
      <c r="Z8" s="188"/>
      <c r="AA8" s="473" t="s">
        <v>17</v>
      </c>
      <c r="AB8" s="473"/>
      <c r="AC8" s="473"/>
      <c r="AD8" s="473"/>
      <c r="AE8" s="473"/>
      <c r="AF8" s="473"/>
      <c r="AG8" s="473"/>
      <c r="AH8" s="473"/>
      <c r="AI8" s="188"/>
      <c r="AJ8" s="467" t="s">
        <v>17</v>
      </c>
      <c r="AK8" s="468"/>
      <c r="AL8" s="468"/>
      <c r="AM8" s="468"/>
      <c r="AN8" s="468"/>
      <c r="AO8" s="468"/>
      <c r="AP8" s="468"/>
      <c r="AQ8" s="469"/>
      <c r="AR8" s="115"/>
    </row>
    <row r="9" spans="1:44">
      <c r="A9" s="33" t="s">
        <v>18</v>
      </c>
      <c r="B9" s="33">
        <f>B13+B20</f>
        <v>149</v>
      </c>
      <c r="C9" s="33">
        <f t="shared" ref="C9:H10" si="0">C13+C20</f>
        <v>13999</v>
      </c>
      <c r="D9" s="33">
        <f t="shared" si="0"/>
        <v>11706</v>
      </c>
      <c r="E9" s="33">
        <f t="shared" si="0"/>
        <v>5522</v>
      </c>
      <c r="F9" s="33">
        <f t="shared" si="0"/>
        <v>2103</v>
      </c>
      <c r="G9" s="33">
        <f t="shared" si="0"/>
        <v>647</v>
      </c>
      <c r="H9" s="33">
        <f t="shared" si="0"/>
        <v>3434</v>
      </c>
      <c r="I9" s="110"/>
      <c r="J9" s="33" t="s">
        <v>18</v>
      </c>
      <c r="K9" s="33">
        <f>SUM(K13,K20)</f>
        <v>5</v>
      </c>
      <c r="L9" s="33">
        <f t="shared" ref="L9:Q10" si="1">L13+L20</f>
        <v>121</v>
      </c>
      <c r="M9" s="33">
        <f t="shared" si="1"/>
        <v>96</v>
      </c>
      <c r="N9" s="33">
        <f t="shared" si="1"/>
        <v>18</v>
      </c>
      <c r="O9" s="33">
        <f t="shared" si="1"/>
        <v>34</v>
      </c>
      <c r="P9" s="33">
        <f t="shared" si="1"/>
        <v>6</v>
      </c>
      <c r="Q9" s="33">
        <f t="shared" si="1"/>
        <v>38</v>
      </c>
      <c r="R9" s="33" t="s">
        <v>18</v>
      </c>
      <c r="S9" s="33">
        <f>S13+S20</f>
        <v>142</v>
      </c>
      <c r="T9" s="33">
        <f t="shared" ref="T9:Y10" si="2">T13+T20</f>
        <v>13829</v>
      </c>
      <c r="U9" s="33">
        <f t="shared" si="2"/>
        <v>11578</v>
      </c>
      <c r="V9" s="33">
        <f t="shared" si="2"/>
        <v>5504</v>
      </c>
      <c r="W9" s="33">
        <f t="shared" si="2"/>
        <v>2065</v>
      </c>
      <c r="X9" s="33">
        <f t="shared" si="2"/>
        <v>641</v>
      </c>
      <c r="Y9" s="33">
        <f t="shared" si="2"/>
        <v>3368</v>
      </c>
      <c r="Z9" s="110"/>
      <c r="AA9" s="33" t="s">
        <v>18</v>
      </c>
      <c r="AB9" s="33">
        <f>AB13+AB20</f>
        <v>46</v>
      </c>
      <c r="AC9" s="33">
        <f t="shared" ref="AC9:AH10" si="3">AC13+AC20</f>
        <v>9713</v>
      </c>
      <c r="AD9" s="33">
        <f t="shared" si="3"/>
        <v>8122</v>
      </c>
      <c r="AE9" s="33">
        <f t="shared" si="3"/>
        <v>5485</v>
      </c>
      <c r="AF9" s="33">
        <f t="shared" si="3"/>
        <v>1140</v>
      </c>
      <c r="AG9" s="33">
        <f t="shared" si="3"/>
        <v>191</v>
      </c>
      <c r="AH9" s="33">
        <f t="shared" si="3"/>
        <v>1306</v>
      </c>
      <c r="AI9" s="110"/>
      <c r="AJ9" s="33" t="s">
        <v>18</v>
      </c>
      <c r="AK9" s="33">
        <f>AK13+AK20</f>
        <v>2</v>
      </c>
      <c r="AL9" s="33">
        <f t="shared" ref="AL9:AQ9" si="4">AL13+AL20</f>
        <v>49</v>
      </c>
      <c r="AM9" s="33">
        <f t="shared" si="4"/>
        <v>32</v>
      </c>
      <c r="AN9" s="33">
        <f t="shared" si="4"/>
        <v>0</v>
      </c>
      <c r="AO9" s="33">
        <f t="shared" si="4"/>
        <v>4</v>
      </c>
      <c r="AP9" s="33">
        <f t="shared" si="4"/>
        <v>0</v>
      </c>
      <c r="AQ9" s="33">
        <f t="shared" si="4"/>
        <v>28</v>
      </c>
      <c r="AR9" s="115"/>
    </row>
    <row r="10" spans="1:44">
      <c r="A10" s="7" t="s">
        <v>19</v>
      </c>
      <c r="B10" s="33">
        <f>B14+B21</f>
        <v>59.2</v>
      </c>
      <c r="C10" s="33">
        <f>C14+C21</f>
        <v>8886</v>
      </c>
      <c r="D10" s="33">
        <f t="shared" si="0"/>
        <v>8440</v>
      </c>
      <c r="E10" s="33">
        <f t="shared" si="0"/>
        <v>4800</v>
      </c>
      <c r="F10" s="33">
        <f t="shared" si="0"/>
        <v>921</v>
      </c>
      <c r="G10" s="33">
        <f t="shared" si="0"/>
        <v>372</v>
      </c>
      <c r="H10" s="33">
        <f t="shared" si="0"/>
        <v>2347</v>
      </c>
      <c r="I10" s="110"/>
      <c r="J10" s="7" t="s">
        <v>19</v>
      </c>
      <c r="K10" s="33">
        <f>K14+K21</f>
        <v>0</v>
      </c>
      <c r="L10" s="33">
        <f t="shared" si="1"/>
        <v>0</v>
      </c>
      <c r="M10" s="33">
        <f t="shared" si="1"/>
        <v>0</v>
      </c>
      <c r="N10" s="33">
        <f t="shared" si="1"/>
        <v>0</v>
      </c>
      <c r="O10" s="33">
        <f t="shared" si="1"/>
        <v>0</v>
      </c>
      <c r="P10" s="33">
        <f t="shared" si="1"/>
        <v>0</v>
      </c>
      <c r="Q10" s="33">
        <f t="shared" si="1"/>
        <v>0</v>
      </c>
      <c r="R10" s="7" t="s">
        <v>19</v>
      </c>
      <c r="S10" s="42">
        <f>S14+S21</f>
        <v>56.900000000000006</v>
      </c>
      <c r="T10" s="33">
        <f t="shared" si="2"/>
        <v>8732</v>
      </c>
      <c r="U10" s="42">
        <f>U14+U21</f>
        <v>8289</v>
      </c>
      <c r="V10" s="33">
        <f t="shared" si="2"/>
        <v>4795</v>
      </c>
      <c r="W10" s="33">
        <f t="shared" si="2"/>
        <v>914</v>
      </c>
      <c r="X10" s="33">
        <f t="shared" si="2"/>
        <v>371</v>
      </c>
      <c r="Y10" s="33">
        <f t="shared" si="2"/>
        <v>2209</v>
      </c>
      <c r="Z10" s="110"/>
      <c r="AA10" s="7" t="s">
        <v>19</v>
      </c>
      <c r="AB10" s="42">
        <f>AB14+AB21</f>
        <v>24.6</v>
      </c>
      <c r="AC10" s="33">
        <f t="shared" si="3"/>
        <v>6691</v>
      </c>
      <c r="AD10" s="33">
        <f t="shared" si="3"/>
        <v>6371</v>
      </c>
      <c r="AE10" s="33">
        <f t="shared" si="3"/>
        <v>4674</v>
      </c>
      <c r="AF10" s="33">
        <f t="shared" si="3"/>
        <v>604</v>
      </c>
      <c r="AG10" s="33">
        <f t="shared" si="3"/>
        <v>308</v>
      </c>
      <c r="AH10" s="33">
        <f t="shared" si="3"/>
        <v>785</v>
      </c>
      <c r="AI10" s="110"/>
      <c r="AJ10" s="7" t="s">
        <v>19</v>
      </c>
      <c r="AK10" s="33">
        <f>SUM(AK21,AK14)</f>
        <v>2.2999999999999998</v>
      </c>
      <c r="AL10" s="33">
        <f t="shared" ref="AL10:AQ10" si="5">SUM(AL21,AL14)</f>
        <v>154</v>
      </c>
      <c r="AM10" s="33">
        <f t="shared" si="5"/>
        <v>151</v>
      </c>
      <c r="AN10" s="33">
        <f t="shared" si="5"/>
        <v>5</v>
      </c>
      <c r="AO10" s="33">
        <f t="shared" si="5"/>
        <v>7</v>
      </c>
      <c r="AP10" s="33">
        <f t="shared" si="5"/>
        <v>1</v>
      </c>
      <c r="AQ10" s="33">
        <f t="shared" si="5"/>
        <v>138</v>
      </c>
      <c r="AR10" s="115"/>
    </row>
    <row r="11" spans="1:44">
      <c r="A11" s="33" t="s">
        <v>20</v>
      </c>
      <c r="B11" s="26">
        <f t="shared" ref="B11:H11" si="6">B10/B9*100</f>
        <v>39.731543624161077</v>
      </c>
      <c r="C11" s="26">
        <f t="shared" si="6"/>
        <v>63.475962568754909</v>
      </c>
      <c r="D11" s="26">
        <f t="shared" si="6"/>
        <v>72.09977789167948</v>
      </c>
      <c r="E11" s="26">
        <f t="shared" si="6"/>
        <v>86.925027164070983</v>
      </c>
      <c r="F11" s="26">
        <f t="shared" si="6"/>
        <v>43.794579172610554</v>
      </c>
      <c r="G11" s="26">
        <f t="shared" si="6"/>
        <v>57.496136012364765</v>
      </c>
      <c r="H11" s="26">
        <f t="shared" si="6"/>
        <v>68.345952242283047</v>
      </c>
      <c r="I11" s="113"/>
      <c r="J11" s="33" t="s">
        <v>20</v>
      </c>
      <c r="K11" s="26">
        <f t="shared" ref="K11:Q11" si="7">K10/K9*100</f>
        <v>0</v>
      </c>
      <c r="L11" s="26">
        <f t="shared" si="7"/>
        <v>0</v>
      </c>
      <c r="M11" s="26">
        <f t="shared" si="7"/>
        <v>0</v>
      </c>
      <c r="N11" s="26">
        <f t="shared" si="7"/>
        <v>0</v>
      </c>
      <c r="O11" s="26">
        <f t="shared" si="7"/>
        <v>0</v>
      </c>
      <c r="P11" s="26">
        <f t="shared" si="7"/>
        <v>0</v>
      </c>
      <c r="Q11" s="26">
        <f t="shared" si="7"/>
        <v>0</v>
      </c>
      <c r="R11" s="33" t="s">
        <v>20</v>
      </c>
      <c r="S11" s="26">
        <f t="shared" ref="S11:Y11" si="8">S10/S9*100</f>
        <v>40.070422535211272</v>
      </c>
      <c r="T11" s="26">
        <f t="shared" si="8"/>
        <v>63.142671198206671</v>
      </c>
      <c r="U11" s="26">
        <f t="shared" si="8"/>
        <v>71.592675764380715</v>
      </c>
      <c r="V11" s="26">
        <f t="shared" si="8"/>
        <v>87.118459302325576</v>
      </c>
      <c r="W11" s="26">
        <f t="shared" si="8"/>
        <v>44.261501210653755</v>
      </c>
      <c r="X11" s="26">
        <f t="shared" si="8"/>
        <v>57.878315132605309</v>
      </c>
      <c r="Y11" s="26">
        <f t="shared" si="8"/>
        <v>65.587885985748215</v>
      </c>
      <c r="Z11" s="113"/>
      <c r="AA11" s="33" t="s">
        <v>20</v>
      </c>
      <c r="AB11" s="26">
        <f t="shared" ref="AB11:AH11" si="9">AB10/AB9*100</f>
        <v>53.478260869565219</v>
      </c>
      <c r="AC11" s="26">
        <f t="shared" si="9"/>
        <v>68.887058581282815</v>
      </c>
      <c r="AD11" s="26">
        <f t="shared" si="9"/>
        <v>78.441270622999255</v>
      </c>
      <c r="AE11" s="26">
        <f t="shared" si="9"/>
        <v>85.214220601640832</v>
      </c>
      <c r="AF11" s="26">
        <f t="shared" si="9"/>
        <v>52.982456140350877</v>
      </c>
      <c r="AG11" s="26">
        <f t="shared" si="9"/>
        <v>161.2565445026178</v>
      </c>
      <c r="AH11" s="26">
        <f t="shared" si="9"/>
        <v>60.107197549770284</v>
      </c>
      <c r="AI11" s="113"/>
      <c r="AJ11" s="33" t="s">
        <v>20</v>
      </c>
      <c r="AK11" s="26">
        <f>AK10/AK9*100</f>
        <v>114.99999999999999</v>
      </c>
      <c r="AL11" s="26">
        <f>AL10/AL9*100</f>
        <v>314.28571428571428</v>
      </c>
      <c r="AM11" s="26">
        <f>AM10/AM9*100</f>
        <v>471.875</v>
      </c>
      <c r="AN11" s="26">
        <v>0</v>
      </c>
      <c r="AO11" s="26">
        <f>AO10/AO9*100</f>
        <v>175</v>
      </c>
      <c r="AP11" s="26" t="e">
        <f>AP10/AP9*100</f>
        <v>#DIV/0!</v>
      </c>
      <c r="AQ11" s="26">
        <f>AQ10/AQ9*100</f>
        <v>492.85714285714289</v>
      </c>
      <c r="AR11" s="115"/>
    </row>
    <row r="12" spans="1:44">
      <c r="A12" s="476" t="s">
        <v>11</v>
      </c>
      <c r="B12" s="513"/>
      <c r="C12" s="513"/>
      <c r="D12" s="513"/>
      <c r="E12" s="513"/>
      <c r="F12" s="513"/>
      <c r="G12" s="513"/>
      <c r="H12" s="513"/>
      <c r="J12" s="476" t="s">
        <v>11</v>
      </c>
      <c r="K12" s="476"/>
      <c r="L12" s="476"/>
      <c r="M12" s="476"/>
      <c r="N12" s="476"/>
      <c r="O12" s="476"/>
      <c r="P12" s="476"/>
      <c r="Q12" s="476"/>
      <c r="R12" s="476" t="s">
        <v>11</v>
      </c>
      <c r="S12" s="476"/>
      <c r="T12" s="476"/>
      <c r="U12" s="476"/>
      <c r="V12" s="476"/>
      <c r="W12" s="476"/>
      <c r="X12" s="476"/>
      <c r="Y12" s="476"/>
      <c r="Z12" s="302"/>
      <c r="AA12" s="476" t="s">
        <v>11</v>
      </c>
      <c r="AB12" s="476"/>
      <c r="AC12" s="476"/>
      <c r="AD12" s="476"/>
      <c r="AE12" s="476"/>
      <c r="AF12" s="476"/>
      <c r="AG12" s="476"/>
      <c r="AH12" s="476"/>
      <c r="AI12" s="302"/>
      <c r="AJ12" s="461" t="s">
        <v>11</v>
      </c>
      <c r="AK12" s="462"/>
      <c r="AL12" s="462"/>
      <c r="AM12" s="462"/>
      <c r="AN12" s="462"/>
      <c r="AO12" s="462"/>
      <c r="AP12" s="462"/>
      <c r="AQ12" s="463"/>
      <c r="AR12" s="376"/>
    </row>
    <row r="13" spans="1:44">
      <c r="A13" s="244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"/>
      <c r="J13" s="244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244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"/>
      <c r="AA13" s="244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244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  <c r="AR13" s="376"/>
    </row>
    <row r="14" spans="1:44">
      <c r="A14" s="18" t="s">
        <v>19</v>
      </c>
      <c r="B14" s="6">
        <f>SUM(K14,S14,AK14)</f>
        <v>2.2999999999999998</v>
      </c>
      <c r="C14" s="6">
        <f>L14+T14+AL14</f>
        <v>9</v>
      </c>
      <c r="D14" s="6">
        <f>E14+F14+G14+H14</f>
        <v>9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9</v>
      </c>
      <c r="I14" s="1"/>
      <c r="J14" s="18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18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"/>
      <c r="AA14" s="18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"/>
      <c r="AJ14" s="18" t="s">
        <v>19</v>
      </c>
      <c r="AK14" s="6">
        <v>2.2999999999999998</v>
      </c>
      <c r="AL14" s="6">
        <v>9</v>
      </c>
      <c r="AM14" s="26">
        <v>9</v>
      </c>
      <c r="AN14" s="6">
        <v>0</v>
      </c>
      <c r="AO14" s="6">
        <v>0</v>
      </c>
      <c r="AP14" s="6">
        <v>0</v>
      </c>
      <c r="AQ14" s="6">
        <v>9</v>
      </c>
      <c r="AR14" s="376"/>
    </row>
    <row r="15" spans="1:44">
      <c r="A15" s="244" t="s">
        <v>20</v>
      </c>
      <c r="B15" s="26">
        <f t="shared" ref="B15:H15" si="11">B14/B13*100</f>
        <v>114.99999999999999</v>
      </c>
      <c r="C15" s="26">
        <f t="shared" si="11"/>
        <v>33.333333333333329</v>
      </c>
      <c r="D15" s="26">
        <f>D14/D13*100</f>
        <v>47.368421052631575</v>
      </c>
      <c r="E15" s="26">
        <f t="shared" si="11"/>
        <v>0</v>
      </c>
      <c r="F15" s="26">
        <f t="shared" si="11"/>
        <v>0</v>
      </c>
      <c r="G15" s="26">
        <f t="shared" si="11"/>
        <v>0</v>
      </c>
      <c r="H15" s="26">
        <f t="shared" si="11"/>
        <v>100</v>
      </c>
      <c r="I15" s="113"/>
      <c r="J15" s="244" t="s">
        <v>20</v>
      </c>
      <c r="K15" s="26">
        <f>K14/K13*100</f>
        <v>0</v>
      </c>
      <c r="L15" s="26">
        <f>L14/L13*100</f>
        <v>0</v>
      </c>
      <c r="M15" s="26">
        <f>M14/M13*100</f>
        <v>0</v>
      </c>
      <c r="N15" s="26"/>
      <c r="O15" s="26">
        <f>O14/O13*100</f>
        <v>0</v>
      </c>
      <c r="P15" s="26">
        <f>P14/P13*100</f>
        <v>0</v>
      </c>
      <c r="Q15" s="26">
        <f>Q14/Q13*100</f>
        <v>0</v>
      </c>
      <c r="R15" s="244" t="s">
        <v>20</v>
      </c>
      <c r="S15" s="26" t="e">
        <f t="shared" ref="S15:Y15" si="12">S14/S13*100</f>
        <v>#DIV/0!</v>
      </c>
      <c r="T15" s="26" t="e">
        <f t="shared" si="12"/>
        <v>#DIV/0!</v>
      </c>
      <c r="U15" s="26" t="e">
        <f t="shared" si="12"/>
        <v>#DIV/0!</v>
      </c>
      <c r="V15" s="26" t="e">
        <f t="shared" si="12"/>
        <v>#DIV/0!</v>
      </c>
      <c r="W15" s="26" t="e">
        <f t="shared" si="12"/>
        <v>#DIV/0!</v>
      </c>
      <c r="X15" s="26" t="e">
        <f t="shared" si="12"/>
        <v>#DIV/0!</v>
      </c>
      <c r="Y15" s="26" t="e">
        <f t="shared" si="12"/>
        <v>#DIV/0!</v>
      </c>
      <c r="Z15" s="113"/>
      <c r="AA15" s="244" t="s">
        <v>20</v>
      </c>
      <c r="AB15" s="26" t="e">
        <f t="shared" ref="AB15:AH15" si="13">AB14/AB13*100</f>
        <v>#DIV/0!</v>
      </c>
      <c r="AC15" s="26" t="e">
        <f t="shared" si="13"/>
        <v>#DIV/0!</v>
      </c>
      <c r="AD15" s="26" t="e">
        <f t="shared" si="13"/>
        <v>#DIV/0!</v>
      </c>
      <c r="AE15" s="26" t="e">
        <f t="shared" si="13"/>
        <v>#DIV/0!</v>
      </c>
      <c r="AF15" s="26" t="e">
        <f t="shared" si="13"/>
        <v>#DIV/0!</v>
      </c>
      <c r="AG15" s="26" t="e">
        <f t="shared" si="13"/>
        <v>#DIV/0!</v>
      </c>
      <c r="AH15" s="26" t="e">
        <f t="shared" si="13"/>
        <v>#DIV/0!</v>
      </c>
      <c r="AI15" s="113"/>
      <c r="AJ15" s="244" t="s">
        <v>20</v>
      </c>
      <c r="AK15" s="26">
        <f>AK14/AK13*100</f>
        <v>229.99999999999997</v>
      </c>
      <c r="AL15" s="26">
        <f t="shared" ref="AL15:AQ15" si="14">AL14/AL13*100</f>
        <v>81.818181818181827</v>
      </c>
      <c r="AM15" s="26">
        <f t="shared" si="14"/>
        <v>112.5</v>
      </c>
      <c r="AN15" s="26" t="e">
        <f>AN14/AN13*100</f>
        <v>#DIV/0!</v>
      </c>
      <c r="AO15" s="26">
        <f t="shared" si="14"/>
        <v>0</v>
      </c>
      <c r="AP15" s="26" t="e">
        <f t="shared" si="14"/>
        <v>#DIV/0!</v>
      </c>
      <c r="AQ15" s="26">
        <f t="shared" si="14"/>
        <v>150</v>
      </c>
      <c r="AR15" s="376"/>
    </row>
    <row r="16" spans="1:44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  <c r="AR16" s="376"/>
    </row>
    <row r="17" spans="1:44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R17" s="376"/>
    </row>
    <row r="18" spans="1:44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4">
      <c r="A19" s="476" t="s">
        <v>16</v>
      </c>
      <c r="B19" s="513"/>
      <c r="C19" s="513"/>
      <c r="D19" s="513"/>
      <c r="E19" s="513"/>
      <c r="F19" s="513"/>
      <c r="G19" s="513"/>
      <c r="H19" s="513"/>
      <c r="J19" s="476" t="s">
        <v>16</v>
      </c>
      <c r="K19" s="476"/>
      <c r="L19" s="476"/>
      <c r="M19" s="476"/>
      <c r="N19" s="476"/>
      <c r="O19" s="476"/>
      <c r="P19" s="476"/>
      <c r="Q19" s="476"/>
      <c r="R19" s="476" t="s">
        <v>16</v>
      </c>
      <c r="S19" s="476"/>
      <c r="T19" s="476"/>
      <c r="U19" s="476"/>
      <c r="V19" s="476"/>
      <c r="W19" s="476"/>
      <c r="X19" s="476"/>
      <c r="Y19" s="476"/>
      <c r="Z19" s="302"/>
      <c r="AA19" s="476" t="s">
        <v>16</v>
      </c>
      <c r="AB19" s="476"/>
      <c r="AC19" s="476"/>
      <c r="AD19" s="476"/>
      <c r="AE19" s="476"/>
      <c r="AF19" s="476"/>
      <c r="AG19" s="476"/>
      <c r="AH19" s="476"/>
      <c r="AI19" s="302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4">
      <c r="A20" s="244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"/>
      <c r="J20" s="244" t="s">
        <v>18</v>
      </c>
      <c r="K20" s="27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244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"/>
      <c r="AA20" s="244" t="s">
        <v>18</v>
      </c>
      <c r="AB20" s="27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"/>
      <c r="AJ20" s="244" t="s">
        <v>18</v>
      </c>
      <c r="AK20" s="6">
        <f>AK23+AK26+AK29+AK32+AK35+AK38</f>
        <v>1</v>
      </c>
      <c r="AL20" s="6">
        <f t="shared" ref="AK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4">
      <c r="A21" s="18" t="s">
        <v>19</v>
      </c>
      <c r="B21" s="6">
        <f>B24+B27+B30+B33+B36+B39</f>
        <v>56.900000000000006</v>
      </c>
      <c r="C21" s="6">
        <f t="shared" si="17"/>
        <v>8877</v>
      </c>
      <c r="D21" s="6">
        <f t="shared" si="17"/>
        <v>8431</v>
      </c>
      <c r="E21" s="6">
        <f t="shared" si="17"/>
        <v>4800</v>
      </c>
      <c r="F21" s="6">
        <f t="shared" si="17"/>
        <v>921</v>
      </c>
      <c r="G21" s="6">
        <f t="shared" si="17"/>
        <v>372</v>
      </c>
      <c r="H21" s="6">
        <f t="shared" si="17"/>
        <v>2338</v>
      </c>
      <c r="I21" s="1"/>
      <c r="J21" s="18" t="s">
        <v>19</v>
      </c>
      <c r="K21" s="6"/>
      <c r="L21" s="6"/>
      <c r="M21" s="6"/>
      <c r="N21" s="6"/>
      <c r="O21" s="6"/>
      <c r="P21" s="6"/>
      <c r="Q21" s="6"/>
      <c r="R21" s="18" t="s">
        <v>19</v>
      </c>
      <c r="S21" s="27">
        <f>S24+S27+S30+S33+S36+S39</f>
        <v>56.900000000000006</v>
      </c>
      <c r="T21" s="27">
        <f t="shared" si="19"/>
        <v>8732</v>
      </c>
      <c r="U21" s="27">
        <f t="shared" si="19"/>
        <v>8289</v>
      </c>
      <c r="V21" s="27">
        <f t="shared" si="19"/>
        <v>4795</v>
      </c>
      <c r="W21" s="27">
        <f t="shared" si="19"/>
        <v>914</v>
      </c>
      <c r="X21" s="27">
        <f t="shared" si="19"/>
        <v>371</v>
      </c>
      <c r="Y21" s="27">
        <f t="shared" si="19"/>
        <v>2209</v>
      </c>
      <c r="Z21" s="1"/>
      <c r="AA21" s="18" t="s">
        <v>19</v>
      </c>
      <c r="AB21" s="27">
        <f>AB24+AB27+AB30+AB33+AB36+AB39</f>
        <v>24.6</v>
      </c>
      <c r="AC21" s="27">
        <f t="shared" si="20"/>
        <v>6691</v>
      </c>
      <c r="AD21" s="27">
        <f t="shared" si="20"/>
        <v>6371</v>
      </c>
      <c r="AE21" s="27">
        <f t="shared" si="20"/>
        <v>4674</v>
      </c>
      <c r="AF21" s="27">
        <f t="shared" si="20"/>
        <v>604</v>
      </c>
      <c r="AG21" s="27">
        <f t="shared" si="20"/>
        <v>308</v>
      </c>
      <c r="AH21" s="27">
        <f t="shared" si="20"/>
        <v>785</v>
      </c>
      <c r="AI21" s="1"/>
      <c r="AJ21" s="18" t="s">
        <v>19</v>
      </c>
      <c r="AK21" s="6">
        <f t="shared" si="21"/>
        <v>0</v>
      </c>
      <c r="AL21" s="6">
        <f t="shared" si="21"/>
        <v>145</v>
      </c>
      <c r="AM21" s="6">
        <f t="shared" si="21"/>
        <v>142</v>
      </c>
      <c r="AN21" s="6">
        <f t="shared" si="21"/>
        <v>5</v>
      </c>
      <c r="AO21" s="6">
        <f t="shared" si="21"/>
        <v>7</v>
      </c>
      <c r="AP21" s="6">
        <f t="shared" si="21"/>
        <v>1</v>
      </c>
      <c r="AQ21" s="6">
        <f t="shared" si="21"/>
        <v>129</v>
      </c>
      <c r="AR21" s="376"/>
    </row>
    <row r="22" spans="1:44">
      <c r="A22" s="244" t="s">
        <v>20</v>
      </c>
      <c r="B22" s="26">
        <f t="shared" ref="B22:H22" si="22">B21/B20*100</f>
        <v>38.707482993197281</v>
      </c>
      <c r="C22" s="26">
        <f t="shared" si="22"/>
        <v>63.534211279702255</v>
      </c>
      <c r="D22" s="26">
        <f t="shared" si="22"/>
        <v>72.139984598271596</v>
      </c>
      <c r="E22" s="26">
        <f t="shared" si="22"/>
        <v>86.94077159934794</v>
      </c>
      <c r="F22" s="26">
        <f t="shared" si="22"/>
        <v>43.961813842482101</v>
      </c>
      <c r="G22" s="26">
        <f t="shared" si="22"/>
        <v>57.585139318885446</v>
      </c>
      <c r="H22" s="26">
        <f t="shared" si="22"/>
        <v>68.262773722627728</v>
      </c>
      <c r="I22" s="113"/>
      <c r="J22" s="244" t="s">
        <v>20</v>
      </c>
      <c r="K22" s="26">
        <f t="shared" ref="K22:Q22" si="23">K21/K20*100</f>
        <v>0</v>
      </c>
      <c r="L22" s="26">
        <f t="shared" si="23"/>
        <v>0</v>
      </c>
      <c r="M22" s="26">
        <f t="shared" si="23"/>
        <v>0</v>
      </c>
      <c r="N22" s="26">
        <f t="shared" si="23"/>
        <v>0</v>
      </c>
      <c r="O22" s="26">
        <f t="shared" si="23"/>
        <v>0</v>
      </c>
      <c r="P22" s="26">
        <f t="shared" si="23"/>
        <v>0</v>
      </c>
      <c r="Q22" s="26">
        <f t="shared" si="23"/>
        <v>0</v>
      </c>
      <c r="R22" s="244" t="s">
        <v>20</v>
      </c>
      <c r="S22" s="26">
        <f t="shared" ref="S22:Y22" si="24">S21/S20*100</f>
        <v>40.070422535211272</v>
      </c>
      <c r="T22" s="26">
        <f t="shared" si="24"/>
        <v>63.142671198206671</v>
      </c>
      <c r="U22" s="26">
        <f t="shared" si="24"/>
        <v>71.592675764380715</v>
      </c>
      <c r="V22" s="26">
        <f t="shared" si="24"/>
        <v>87.118459302325576</v>
      </c>
      <c r="W22" s="26">
        <f t="shared" si="24"/>
        <v>44.261501210653755</v>
      </c>
      <c r="X22" s="26">
        <f t="shared" si="24"/>
        <v>57.878315132605309</v>
      </c>
      <c r="Y22" s="26">
        <f t="shared" si="24"/>
        <v>65.587885985748215</v>
      </c>
      <c r="Z22" s="113"/>
      <c r="AA22" s="244" t="s">
        <v>20</v>
      </c>
      <c r="AB22" s="26">
        <f t="shared" ref="AB22:AH22" si="25">AB21/AB20*100</f>
        <v>53.478260869565219</v>
      </c>
      <c r="AC22" s="26">
        <f t="shared" si="25"/>
        <v>68.887058581282815</v>
      </c>
      <c r="AD22" s="26">
        <f t="shared" si="25"/>
        <v>78.441270622999255</v>
      </c>
      <c r="AE22" s="26">
        <f t="shared" si="25"/>
        <v>85.214220601640832</v>
      </c>
      <c r="AF22" s="26">
        <f t="shared" si="25"/>
        <v>52.982456140350877</v>
      </c>
      <c r="AG22" s="26">
        <f t="shared" si="25"/>
        <v>161.2565445026178</v>
      </c>
      <c r="AH22" s="26">
        <f t="shared" si="25"/>
        <v>60.107197549770284</v>
      </c>
      <c r="AI22" s="113"/>
      <c r="AJ22" s="244" t="s">
        <v>20</v>
      </c>
      <c r="AK22" s="26">
        <f t="shared" ref="AK22:AQ22" si="26">AK21/AK20*100</f>
        <v>0</v>
      </c>
      <c r="AL22" s="26">
        <f t="shared" si="26"/>
        <v>381.57894736842104</v>
      </c>
      <c r="AM22" s="26">
        <f t="shared" si="26"/>
        <v>591.66666666666674</v>
      </c>
      <c r="AN22" s="26" t="e">
        <f t="shared" si="26"/>
        <v>#DIV/0!</v>
      </c>
      <c r="AO22" s="26">
        <f t="shared" si="26"/>
        <v>350</v>
      </c>
      <c r="AP22" s="26" t="e">
        <f t="shared" si="26"/>
        <v>#DIV/0!</v>
      </c>
      <c r="AQ22" s="26">
        <f t="shared" si="26"/>
        <v>586.36363636363637</v>
      </c>
    </row>
    <row r="23" spans="1:44">
      <c r="A23" s="6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7">N23+V23+AN23</f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I23" s="1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4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I24" s="1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4">
      <c r="A25" s="6" t="s">
        <v>12</v>
      </c>
      <c r="B25" s="26" t="e">
        <f t="shared" ref="B25:H25" si="28">B24/B23*100</f>
        <v>#DIV/0!</v>
      </c>
      <c r="C25" s="26" t="e">
        <f t="shared" si="28"/>
        <v>#DIV/0!</v>
      </c>
      <c r="D25" s="26" t="e">
        <f t="shared" si="28"/>
        <v>#DIV/0!</v>
      </c>
      <c r="E25" s="26" t="e">
        <f t="shared" si="28"/>
        <v>#DIV/0!</v>
      </c>
      <c r="F25" s="26" t="e">
        <f t="shared" si="28"/>
        <v>#DIV/0!</v>
      </c>
      <c r="G25" s="26" t="e">
        <f t="shared" si="28"/>
        <v>#DIV/0!</v>
      </c>
      <c r="H25" s="26" t="e">
        <f t="shared" si="28"/>
        <v>#DIV/0!</v>
      </c>
      <c r="I25" s="113"/>
      <c r="J25" s="6" t="s">
        <v>12</v>
      </c>
      <c r="K25" s="26" t="e">
        <f t="shared" ref="K25:Q25" si="29">K24/K23*100</f>
        <v>#DIV/0!</v>
      </c>
      <c r="L25" s="26" t="e">
        <f t="shared" si="29"/>
        <v>#DIV/0!</v>
      </c>
      <c r="M25" s="26" t="e">
        <f t="shared" si="29"/>
        <v>#DIV/0!</v>
      </c>
      <c r="N25" s="26" t="e">
        <f t="shared" si="29"/>
        <v>#DIV/0!</v>
      </c>
      <c r="O25" s="26" t="e">
        <f t="shared" si="29"/>
        <v>#DIV/0!</v>
      </c>
      <c r="P25" s="26" t="e">
        <f t="shared" si="29"/>
        <v>#DIV/0!</v>
      </c>
      <c r="Q25" s="26" t="e">
        <f t="shared" si="29"/>
        <v>#DIV/0!</v>
      </c>
      <c r="R25" s="6" t="s">
        <v>12</v>
      </c>
      <c r="S25" s="26" t="e">
        <f t="shared" ref="S25:Y25" si="30">S24/S23*100</f>
        <v>#DIV/0!</v>
      </c>
      <c r="T25" s="26" t="e">
        <f t="shared" si="30"/>
        <v>#DIV/0!</v>
      </c>
      <c r="U25" s="26" t="e">
        <f t="shared" si="30"/>
        <v>#DIV/0!</v>
      </c>
      <c r="V25" s="26" t="e">
        <f t="shared" si="30"/>
        <v>#DIV/0!</v>
      </c>
      <c r="W25" s="26" t="e">
        <f t="shared" si="30"/>
        <v>#DIV/0!</v>
      </c>
      <c r="X25" s="26" t="e">
        <f t="shared" si="30"/>
        <v>#DIV/0!</v>
      </c>
      <c r="Y25" s="26" t="e">
        <f t="shared" si="30"/>
        <v>#DIV/0!</v>
      </c>
      <c r="Z25" s="113"/>
      <c r="AA25" s="6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 t="e">
        <f t="shared" ref="AK25:AQ25" si="31">AK24/AK23*100</f>
        <v>#DIV/0!</v>
      </c>
      <c r="AL25" s="26" t="e">
        <f t="shared" si="31"/>
        <v>#DIV/0!</v>
      </c>
      <c r="AM25" s="26" t="e">
        <f t="shared" si="31"/>
        <v>#DIV/0!</v>
      </c>
      <c r="AN25" s="26" t="e">
        <f t="shared" si="31"/>
        <v>#DIV/0!</v>
      </c>
      <c r="AO25" s="26" t="e">
        <f t="shared" si="31"/>
        <v>#DIV/0!</v>
      </c>
      <c r="AP25" s="26" t="e">
        <f t="shared" si="31"/>
        <v>#DIV/0!</v>
      </c>
      <c r="AQ25" s="26" t="e">
        <f t="shared" si="31"/>
        <v>#DIV/0!</v>
      </c>
    </row>
    <row r="26" spans="1:44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2">N26+V26+AN26</f>
        <v>2</v>
      </c>
      <c r="F26" s="6">
        <f t="shared" si="32"/>
        <v>1</v>
      </c>
      <c r="G26" s="6">
        <f t="shared" si="32"/>
        <v>0</v>
      </c>
      <c r="H26" s="6">
        <f t="shared" si="32"/>
        <v>1</v>
      </c>
      <c r="I26" s="1"/>
      <c r="J26" s="6" t="s">
        <v>23</v>
      </c>
      <c r="K26" s="27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4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2"/>
        <v>0</v>
      </c>
      <c r="F27" s="6">
        <f t="shared" si="32"/>
        <v>0</v>
      </c>
      <c r="G27" s="6">
        <f t="shared" si="32"/>
        <v>0</v>
      </c>
      <c r="H27" s="6">
        <f t="shared" si="32"/>
        <v>0</v>
      </c>
      <c r="I27" s="1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4">
      <c r="A28" s="6" t="s">
        <v>12</v>
      </c>
      <c r="B28" s="26">
        <f t="shared" ref="B28:H28" si="33">B27/B26*100</f>
        <v>0</v>
      </c>
      <c r="C28" s="26">
        <f t="shared" si="33"/>
        <v>0</v>
      </c>
      <c r="D28" s="26">
        <f t="shared" si="33"/>
        <v>0</v>
      </c>
      <c r="E28" s="26">
        <f t="shared" si="33"/>
        <v>0</v>
      </c>
      <c r="F28" s="26">
        <f t="shared" si="33"/>
        <v>0</v>
      </c>
      <c r="G28" s="26" t="e">
        <f t="shared" si="33"/>
        <v>#DIV/0!</v>
      </c>
      <c r="H28" s="26">
        <f t="shared" si="33"/>
        <v>0</v>
      </c>
      <c r="I28" s="113"/>
      <c r="J28" s="6" t="s">
        <v>12</v>
      </c>
      <c r="K28" s="26">
        <f t="shared" ref="K28:Q28" si="34">K27/K26*100</f>
        <v>0</v>
      </c>
      <c r="L28" s="26">
        <f t="shared" si="34"/>
        <v>0</v>
      </c>
      <c r="M28" s="26">
        <f t="shared" si="34"/>
        <v>0</v>
      </c>
      <c r="N28" s="26">
        <f t="shared" si="34"/>
        <v>0</v>
      </c>
      <c r="O28" s="26">
        <f t="shared" si="34"/>
        <v>0</v>
      </c>
      <c r="P28" s="26" t="e">
        <f t="shared" si="34"/>
        <v>#DIV/0!</v>
      </c>
      <c r="Q28" s="26">
        <f t="shared" si="34"/>
        <v>0</v>
      </c>
      <c r="R28" s="6" t="s">
        <v>12</v>
      </c>
      <c r="S28" s="26" t="e">
        <f t="shared" ref="S28:Y28" si="35">S27/S26*100</f>
        <v>#DIV/0!</v>
      </c>
      <c r="T28" s="26" t="e">
        <f t="shared" si="35"/>
        <v>#DIV/0!</v>
      </c>
      <c r="U28" s="26" t="e">
        <f t="shared" si="35"/>
        <v>#DIV/0!</v>
      </c>
      <c r="V28" s="26" t="e">
        <f t="shared" si="35"/>
        <v>#DIV/0!</v>
      </c>
      <c r="W28" s="26" t="e">
        <f t="shared" si="35"/>
        <v>#DIV/0!</v>
      </c>
      <c r="X28" s="26" t="e">
        <f t="shared" si="35"/>
        <v>#DIV/0!</v>
      </c>
      <c r="Y28" s="26" t="e">
        <f t="shared" si="35"/>
        <v>#DIV/0!</v>
      </c>
      <c r="Z28" s="113"/>
      <c r="AA28" s="6" t="s">
        <v>12</v>
      </c>
      <c r="AB28" s="26"/>
      <c r="AC28" s="26"/>
      <c r="AD28" s="26"/>
      <c r="AE28" s="26"/>
      <c r="AF28" s="26"/>
      <c r="AG28" s="26"/>
      <c r="AH28" s="26"/>
      <c r="AI28" s="113"/>
      <c r="AJ28" s="6" t="s">
        <v>12</v>
      </c>
      <c r="AK28" s="26" t="e">
        <f t="shared" ref="AK28:AQ28" si="36">AK27/AK26*100</f>
        <v>#DIV/0!</v>
      </c>
      <c r="AL28" s="26" t="e">
        <f t="shared" si="36"/>
        <v>#DIV/0!</v>
      </c>
      <c r="AM28" s="26" t="e">
        <f t="shared" si="36"/>
        <v>#DIV/0!</v>
      </c>
      <c r="AN28" s="26" t="e">
        <f t="shared" si="36"/>
        <v>#DIV/0!</v>
      </c>
      <c r="AO28" s="26" t="e">
        <f t="shared" si="36"/>
        <v>#DIV/0!</v>
      </c>
      <c r="AP28" s="26" t="e">
        <f t="shared" si="36"/>
        <v>#DIV/0!</v>
      </c>
      <c r="AQ28" s="26" t="e">
        <f t="shared" si="36"/>
        <v>#DIV/0!</v>
      </c>
    </row>
    <row r="29" spans="1:44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7">N29+V29+AN29</f>
        <v>0</v>
      </c>
      <c r="F29" s="6">
        <f t="shared" si="37"/>
        <v>0</v>
      </c>
      <c r="G29" s="6">
        <f t="shared" si="37"/>
        <v>0</v>
      </c>
      <c r="H29" s="6">
        <f t="shared" si="37"/>
        <v>0</v>
      </c>
      <c r="I29" s="1"/>
      <c r="J29" s="6" t="s">
        <v>25</v>
      </c>
      <c r="K29" s="27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4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7"/>
        <v>0</v>
      </c>
      <c r="F30" s="6">
        <f t="shared" si="37"/>
        <v>0</v>
      </c>
      <c r="G30" s="6">
        <f t="shared" si="37"/>
        <v>0</v>
      </c>
      <c r="H30" s="6">
        <f t="shared" si="37"/>
        <v>0</v>
      </c>
      <c r="I30" s="1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27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4">
      <c r="A31" s="6" t="s">
        <v>12</v>
      </c>
      <c r="B31" s="26" t="e">
        <f t="shared" ref="B31:H31" si="38">B30/B29*100</f>
        <v>#DIV/0!</v>
      </c>
      <c r="C31" s="26" t="e">
        <f t="shared" si="38"/>
        <v>#DIV/0!</v>
      </c>
      <c r="D31" s="26" t="e">
        <f t="shared" si="38"/>
        <v>#DIV/0!</v>
      </c>
      <c r="E31" s="26" t="e">
        <f t="shared" si="38"/>
        <v>#DIV/0!</v>
      </c>
      <c r="F31" s="26" t="e">
        <f t="shared" si="38"/>
        <v>#DIV/0!</v>
      </c>
      <c r="G31" s="26" t="e">
        <f t="shared" si="38"/>
        <v>#DIV/0!</v>
      </c>
      <c r="H31" s="26" t="e">
        <f t="shared" si="38"/>
        <v>#DIV/0!</v>
      </c>
      <c r="I31" s="113"/>
      <c r="J31" s="6" t="s">
        <v>12</v>
      </c>
      <c r="K31" s="26" t="e">
        <f t="shared" ref="K31:Q31" si="39">K30/K29*100</f>
        <v>#DIV/0!</v>
      </c>
      <c r="L31" s="26" t="e">
        <f t="shared" si="39"/>
        <v>#DIV/0!</v>
      </c>
      <c r="M31" s="26" t="e">
        <f t="shared" si="39"/>
        <v>#DIV/0!</v>
      </c>
      <c r="N31" s="26" t="e">
        <f t="shared" si="39"/>
        <v>#DIV/0!</v>
      </c>
      <c r="O31" s="26" t="e">
        <f t="shared" si="39"/>
        <v>#DIV/0!</v>
      </c>
      <c r="P31" s="26" t="e">
        <f t="shared" si="39"/>
        <v>#DIV/0!</v>
      </c>
      <c r="Q31" s="26" t="e">
        <f t="shared" si="39"/>
        <v>#DIV/0!</v>
      </c>
      <c r="R31" s="6" t="s">
        <v>12</v>
      </c>
      <c r="S31" s="26" t="e">
        <f t="shared" ref="S31:Y31" si="40">S30/S29*100</f>
        <v>#DIV/0!</v>
      </c>
      <c r="T31" s="26" t="e">
        <f t="shared" si="40"/>
        <v>#DIV/0!</v>
      </c>
      <c r="U31" s="26" t="e">
        <f t="shared" si="40"/>
        <v>#DIV/0!</v>
      </c>
      <c r="V31" s="26" t="e">
        <f t="shared" si="40"/>
        <v>#DIV/0!</v>
      </c>
      <c r="W31" s="26" t="e">
        <f t="shared" si="40"/>
        <v>#DIV/0!</v>
      </c>
      <c r="X31" s="26" t="e">
        <f t="shared" si="40"/>
        <v>#DIV/0!</v>
      </c>
      <c r="Y31" s="26" t="e">
        <f t="shared" si="40"/>
        <v>#DIV/0!</v>
      </c>
      <c r="Z31" s="113"/>
      <c r="AA31" s="6" t="s">
        <v>12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 t="e">
        <f t="shared" ref="AK31:AQ31" si="41">AK30/AK29*100</f>
        <v>#DIV/0!</v>
      </c>
      <c r="AL31" s="26" t="e">
        <f t="shared" si="41"/>
        <v>#DIV/0!</v>
      </c>
      <c r="AM31" s="26" t="e">
        <f t="shared" si="41"/>
        <v>#DIV/0!</v>
      </c>
      <c r="AN31" s="26" t="e">
        <f t="shared" si="41"/>
        <v>#DIV/0!</v>
      </c>
      <c r="AO31" s="26" t="e">
        <f t="shared" si="41"/>
        <v>#DIV/0!</v>
      </c>
      <c r="AP31" s="26" t="e">
        <f t="shared" si="41"/>
        <v>#DIV/0!</v>
      </c>
      <c r="AQ31" s="26" t="e">
        <f t="shared" si="41"/>
        <v>#DIV/0!</v>
      </c>
    </row>
    <row r="32" spans="1:44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42">N32+V32+AN32</f>
        <v>5467</v>
      </c>
      <c r="F32" s="6">
        <f t="shared" si="42"/>
        <v>1079</v>
      </c>
      <c r="G32" s="6">
        <f t="shared" si="42"/>
        <v>177</v>
      </c>
      <c r="H32" s="6">
        <f t="shared" si="42"/>
        <v>515</v>
      </c>
      <c r="I32" s="1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24.6</v>
      </c>
      <c r="C33" s="6">
        <f>L33+T33+AL33</f>
        <v>6636</v>
      </c>
      <c r="D33" s="6">
        <f>E33+F33+G33+H33</f>
        <v>6320</v>
      </c>
      <c r="E33" s="6">
        <f t="shared" si="42"/>
        <v>4681</v>
      </c>
      <c r="F33" s="6">
        <f t="shared" si="42"/>
        <v>598</v>
      </c>
      <c r="G33" s="6">
        <f t="shared" si="42"/>
        <v>308</v>
      </c>
      <c r="H33" s="6">
        <f t="shared" si="42"/>
        <v>733</v>
      </c>
      <c r="I33" s="1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24.6</v>
      </c>
      <c r="T33" s="6">
        <v>6568</v>
      </c>
      <c r="U33" s="6">
        <v>6255</v>
      </c>
      <c r="V33" s="6">
        <v>4676</v>
      </c>
      <c r="W33" s="6">
        <v>598</v>
      </c>
      <c r="X33" s="6">
        <v>308</v>
      </c>
      <c r="Y33" s="6">
        <v>673</v>
      </c>
      <c r="Z33" s="1"/>
      <c r="AA33" s="6" t="s">
        <v>28</v>
      </c>
      <c r="AB33" s="6">
        <v>24.6</v>
      </c>
      <c r="AC33" s="6">
        <v>6559</v>
      </c>
      <c r="AD33" s="6">
        <v>6247</v>
      </c>
      <c r="AE33" s="6">
        <v>4674</v>
      </c>
      <c r="AF33" s="6">
        <v>596</v>
      </c>
      <c r="AG33" s="6">
        <v>308</v>
      </c>
      <c r="AH33" s="6">
        <v>669</v>
      </c>
      <c r="AI33" s="1"/>
      <c r="AJ33" s="6" t="s">
        <v>28</v>
      </c>
      <c r="AK33" s="6"/>
      <c r="AL33" s="6">
        <v>68</v>
      </c>
      <c r="AM33" s="6">
        <v>65</v>
      </c>
      <c r="AN33" s="6">
        <v>5</v>
      </c>
      <c r="AO33" s="6"/>
      <c r="AP33" s="6"/>
      <c r="AQ33" s="6">
        <v>60</v>
      </c>
    </row>
    <row r="34" spans="1:43">
      <c r="A34" s="6" t="s">
        <v>12</v>
      </c>
      <c r="B34" s="26">
        <f t="shared" ref="B34:H34" si="43">B33/B32*100</f>
        <v>60.000000000000007</v>
      </c>
      <c r="C34" s="26">
        <f t="shared" si="43"/>
        <v>76.716763005780336</v>
      </c>
      <c r="D34" s="26">
        <f t="shared" si="43"/>
        <v>87.316938380768178</v>
      </c>
      <c r="E34" s="26">
        <f t="shared" si="43"/>
        <v>85.622827876349007</v>
      </c>
      <c r="F34" s="26">
        <f t="shared" si="43"/>
        <v>55.421686746987952</v>
      </c>
      <c r="G34" s="26">
        <f t="shared" si="43"/>
        <v>174.01129943502823</v>
      </c>
      <c r="H34" s="26">
        <f t="shared" si="43"/>
        <v>142.33009708737865</v>
      </c>
      <c r="I34" s="113"/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f t="shared" ref="S34:Y34" si="44">S33/S32*100</f>
        <v>60.000000000000007</v>
      </c>
      <c r="T34" s="26">
        <f t="shared" si="44"/>
        <v>75.93063583815028</v>
      </c>
      <c r="U34" s="26">
        <f t="shared" si="44"/>
        <v>86.418900248687478</v>
      </c>
      <c r="V34" s="26">
        <f t="shared" si="44"/>
        <v>85.531370038412291</v>
      </c>
      <c r="W34" s="26">
        <f t="shared" si="44"/>
        <v>55.421686746987952</v>
      </c>
      <c r="X34" s="26">
        <f t="shared" si="44"/>
        <v>174.01129943502823</v>
      </c>
      <c r="Y34" s="26">
        <f t="shared" si="44"/>
        <v>130.67961165048544</v>
      </c>
      <c r="Z34" s="113"/>
      <c r="AA34" s="6" t="s">
        <v>12</v>
      </c>
      <c r="AB34" s="26">
        <f>AB33/AB32*100</f>
        <v>60.000000000000007</v>
      </c>
      <c r="AC34" s="26">
        <f t="shared" ref="AC34:AH34" si="45">AC33/AC32*100</f>
        <v>75.826589595375722</v>
      </c>
      <c r="AD34" s="26">
        <f t="shared" si="45"/>
        <v>86.308372478585255</v>
      </c>
      <c r="AE34" s="26">
        <f t="shared" si="45"/>
        <v>85.49478690323761</v>
      </c>
      <c r="AF34" s="26">
        <f t="shared" si="45"/>
        <v>55.23632993512512</v>
      </c>
      <c r="AG34" s="26">
        <f t="shared" si="45"/>
        <v>174.01129943502823</v>
      </c>
      <c r="AH34" s="26">
        <f t="shared" si="45"/>
        <v>129.90291262135923</v>
      </c>
      <c r="AI34" s="113"/>
      <c r="AJ34" s="6" t="s">
        <v>12</v>
      </c>
      <c r="AK34" s="26"/>
      <c r="AL34" s="26"/>
      <c r="AM34" s="26"/>
      <c r="AN34" s="26"/>
      <c r="AO34" s="26"/>
      <c r="AP34" s="26"/>
      <c r="AQ34" s="26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6">N35+V35+AN35</f>
        <v>19</v>
      </c>
      <c r="F35" s="6">
        <f t="shared" si="46"/>
        <v>925</v>
      </c>
      <c r="G35" s="6">
        <f t="shared" si="46"/>
        <v>450</v>
      </c>
      <c r="H35" s="6">
        <f t="shared" si="46"/>
        <v>2070</v>
      </c>
      <c r="I35" s="1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30.1</v>
      </c>
      <c r="C36" s="6">
        <f>L36+T36+AL36</f>
        <v>1261</v>
      </c>
      <c r="D36" s="6">
        <f>E36+F36+G36+H36</f>
        <v>1192</v>
      </c>
      <c r="E36" s="6">
        <f t="shared" si="46"/>
        <v>0</v>
      </c>
      <c r="F36" s="6">
        <f t="shared" si="46"/>
        <v>295</v>
      </c>
      <c r="G36" s="6">
        <f t="shared" si="46"/>
        <v>63</v>
      </c>
      <c r="H36" s="6">
        <f t="shared" si="46"/>
        <v>834</v>
      </c>
      <c r="I36" s="1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27">
        <v>30.1</v>
      </c>
      <c r="T36" s="6">
        <v>1223</v>
      </c>
      <c r="U36" s="6">
        <v>1156</v>
      </c>
      <c r="V36" s="6">
        <v>0</v>
      </c>
      <c r="W36" s="6">
        <v>288</v>
      </c>
      <c r="X36" s="6">
        <v>62</v>
      </c>
      <c r="Y36" s="6">
        <v>806</v>
      </c>
      <c r="Z36" s="1"/>
      <c r="AA36" s="6" t="s">
        <v>30</v>
      </c>
      <c r="AB36" s="6">
        <v>0</v>
      </c>
      <c r="AC36" s="6">
        <v>10</v>
      </c>
      <c r="AD36" s="6">
        <v>9</v>
      </c>
      <c r="AE36" s="6">
        <v>0</v>
      </c>
      <c r="AF36" s="6">
        <v>0</v>
      </c>
      <c r="AG36" s="6">
        <v>0</v>
      </c>
      <c r="AH36" s="6">
        <v>9</v>
      </c>
      <c r="AI36" s="1"/>
      <c r="AJ36" s="6" t="s">
        <v>30</v>
      </c>
      <c r="AK36" s="6">
        <v>0</v>
      </c>
      <c r="AL36" s="6">
        <v>38</v>
      </c>
      <c r="AM36" s="26">
        <v>36</v>
      </c>
      <c r="AN36" s="6">
        <v>0</v>
      </c>
      <c r="AO36" s="6">
        <v>7</v>
      </c>
      <c r="AP36" s="6">
        <v>1</v>
      </c>
      <c r="AQ36" s="6">
        <v>28</v>
      </c>
    </row>
    <row r="37" spans="1:43">
      <c r="A37" s="6" t="s">
        <v>12</v>
      </c>
      <c r="B37" s="26">
        <f t="shared" ref="B37:H37" si="47">B36/B35*100</f>
        <v>31.354166666666668</v>
      </c>
      <c r="C37" s="26">
        <f t="shared" si="47"/>
        <v>30.562287930198739</v>
      </c>
      <c r="D37" s="26">
        <f t="shared" si="47"/>
        <v>34.41108545034642</v>
      </c>
      <c r="E37" s="26">
        <f t="shared" si="47"/>
        <v>0</v>
      </c>
      <c r="F37" s="26">
        <f t="shared" si="47"/>
        <v>31.891891891891895</v>
      </c>
      <c r="G37" s="26">
        <f t="shared" si="47"/>
        <v>14.000000000000002</v>
      </c>
      <c r="H37" s="26">
        <f t="shared" si="47"/>
        <v>40.289855072463773</v>
      </c>
      <c r="I37" s="113"/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8">S36/S35*100</f>
        <v>31.354166666666668</v>
      </c>
      <c r="T37" s="26">
        <f t="shared" si="48"/>
        <v>29.713313896987366</v>
      </c>
      <c r="U37" s="26">
        <f t="shared" si="48"/>
        <v>33.449074074074076</v>
      </c>
      <c r="V37" s="26">
        <f t="shared" si="48"/>
        <v>0</v>
      </c>
      <c r="W37" s="26">
        <f t="shared" si="48"/>
        <v>31.135135135135133</v>
      </c>
      <c r="X37" s="26">
        <f t="shared" si="48"/>
        <v>13.777777777777779</v>
      </c>
      <c r="Y37" s="26">
        <f t="shared" si="48"/>
        <v>39.088263821532493</v>
      </c>
      <c r="Z37" s="113"/>
      <c r="AA37" s="6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 t="e">
        <f>AK36/AK35*100</f>
        <v>#DIV/0!</v>
      </c>
      <c r="AL37" s="26">
        <f t="shared" ref="AL37:AQ37" si="49">AL36/AL35*100</f>
        <v>380</v>
      </c>
      <c r="AM37" s="26">
        <f t="shared" si="49"/>
        <v>450</v>
      </c>
      <c r="AN37" s="26" t="e">
        <f t="shared" si="49"/>
        <v>#DIV/0!</v>
      </c>
      <c r="AO37" s="26" t="e">
        <f t="shared" si="49"/>
        <v>#DIV/0!</v>
      </c>
      <c r="AP37" s="26" t="e">
        <f t="shared" si="49"/>
        <v>#DIV/0!</v>
      </c>
      <c r="AQ37" s="26">
        <f t="shared" si="49"/>
        <v>350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50">N38+V38+AN38</f>
        <v>33</v>
      </c>
      <c r="F38" s="6">
        <f t="shared" si="50"/>
        <v>90</v>
      </c>
      <c r="G38" s="6">
        <f t="shared" si="50"/>
        <v>19</v>
      </c>
      <c r="H38" s="6">
        <f t="shared" si="50"/>
        <v>839</v>
      </c>
      <c r="I38" s="1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19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"/>
      <c r="AA38" s="6" t="s">
        <v>31</v>
      </c>
      <c r="AB38" s="19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27">
        <f>K39+S39+AK39</f>
        <v>2.2000000000000002</v>
      </c>
      <c r="C39" s="6">
        <f>L39+T39+AL39</f>
        <v>980</v>
      </c>
      <c r="D39" s="6">
        <f>E39+F39+G39+H39</f>
        <v>919</v>
      </c>
      <c r="E39" s="6">
        <f t="shared" si="50"/>
        <v>119</v>
      </c>
      <c r="F39" s="6">
        <f t="shared" si="50"/>
        <v>28</v>
      </c>
      <c r="G39" s="6">
        <f t="shared" si="50"/>
        <v>1</v>
      </c>
      <c r="H39" s="6">
        <f t="shared" si="50"/>
        <v>771</v>
      </c>
      <c r="I39" s="1"/>
      <c r="J39" s="6" t="s">
        <v>32</v>
      </c>
      <c r="K39" s="27"/>
      <c r="L39" s="6"/>
      <c r="M39" s="6"/>
      <c r="N39" s="6"/>
      <c r="O39" s="6"/>
      <c r="P39" s="6"/>
      <c r="Q39" s="6"/>
      <c r="R39" s="6" t="s">
        <v>32</v>
      </c>
      <c r="S39" s="6">
        <v>2.2000000000000002</v>
      </c>
      <c r="T39" s="6">
        <v>941</v>
      </c>
      <c r="U39" s="6">
        <v>878</v>
      </c>
      <c r="V39" s="6">
        <v>119</v>
      </c>
      <c r="W39" s="6">
        <v>28</v>
      </c>
      <c r="X39" s="6">
        <v>1</v>
      </c>
      <c r="Y39" s="6">
        <v>730</v>
      </c>
      <c r="Z39" s="1"/>
      <c r="AA39" s="6" t="s">
        <v>32</v>
      </c>
      <c r="AB39" s="6">
        <v>0</v>
      </c>
      <c r="AC39" s="6">
        <v>122</v>
      </c>
      <c r="AD39" s="6">
        <v>115</v>
      </c>
      <c r="AE39" s="6">
        <v>0</v>
      </c>
      <c r="AF39" s="6">
        <v>8</v>
      </c>
      <c r="AG39" s="6">
        <v>0</v>
      </c>
      <c r="AH39" s="6">
        <v>107</v>
      </c>
      <c r="AI39" s="1"/>
      <c r="AJ39" s="6" t="s">
        <v>32</v>
      </c>
      <c r="AK39" s="8">
        <v>0</v>
      </c>
      <c r="AL39" s="9">
        <v>39</v>
      </c>
      <c r="AM39" s="9">
        <v>41</v>
      </c>
      <c r="AN39" s="9">
        <v>0</v>
      </c>
      <c r="AO39" s="9">
        <v>0</v>
      </c>
      <c r="AP39" s="9">
        <v>0</v>
      </c>
      <c r="AQ39" s="9">
        <v>41</v>
      </c>
    </row>
    <row r="40" spans="1:43">
      <c r="A40" s="6" t="s">
        <v>12</v>
      </c>
      <c r="B40" s="26">
        <f t="shared" ref="B40:H40" si="51">B39/B38*100</f>
        <v>24.444444444444446</v>
      </c>
      <c r="C40" s="26">
        <f t="shared" si="51"/>
        <v>82.283795130142735</v>
      </c>
      <c r="D40" s="26">
        <f t="shared" si="51"/>
        <v>93.679918450560649</v>
      </c>
      <c r="E40" s="26">
        <f t="shared" si="51"/>
        <v>360.60606060606062</v>
      </c>
      <c r="F40" s="26">
        <f t="shared" si="51"/>
        <v>31.111111111111111</v>
      </c>
      <c r="G40" s="26">
        <f t="shared" si="51"/>
        <v>5.2631578947368416</v>
      </c>
      <c r="H40" s="26">
        <f t="shared" si="51"/>
        <v>91.895113230035747</v>
      </c>
      <c r="I40" s="113"/>
      <c r="J40" s="6" t="s">
        <v>12</v>
      </c>
      <c r="K40" s="26">
        <f t="shared" ref="K40:Q40" si="52">K39/K38*100</f>
        <v>0</v>
      </c>
      <c r="L40" s="26">
        <f t="shared" si="52"/>
        <v>0</v>
      </c>
      <c r="M40" s="26">
        <f t="shared" si="52"/>
        <v>0</v>
      </c>
      <c r="N40" s="26">
        <f t="shared" si="52"/>
        <v>0</v>
      </c>
      <c r="O40" s="26">
        <f t="shared" si="52"/>
        <v>0</v>
      </c>
      <c r="P40" s="26">
        <v>0</v>
      </c>
      <c r="Q40" s="26">
        <f t="shared" si="52"/>
        <v>0</v>
      </c>
      <c r="R40" s="6" t="s">
        <v>12</v>
      </c>
      <c r="S40" s="26">
        <f t="shared" ref="S40:Y40" si="53">S39/S38*100</f>
        <v>44.000000000000007</v>
      </c>
      <c r="T40" s="26">
        <f t="shared" si="53"/>
        <v>88.52304797742238</v>
      </c>
      <c r="U40" s="26">
        <f t="shared" si="53"/>
        <v>99.321266968325801</v>
      </c>
      <c r="V40" s="26">
        <f t="shared" si="53"/>
        <v>661.11111111111109</v>
      </c>
      <c r="W40" s="26">
        <f t="shared" si="53"/>
        <v>45.901639344262293</v>
      </c>
      <c r="X40" s="26">
        <f t="shared" si="53"/>
        <v>7.1428571428571423</v>
      </c>
      <c r="Y40" s="26">
        <f t="shared" si="53"/>
        <v>92.288242730720611</v>
      </c>
      <c r="Z40" s="113"/>
      <c r="AA40" s="6" t="s">
        <v>12</v>
      </c>
      <c r="AB40" s="26">
        <f>AB39/AB38*100</f>
        <v>0</v>
      </c>
      <c r="AC40" s="26">
        <f>AC39/AC38*100</f>
        <v>11.47695202257761</v>
      </c>
      <c r="AD40" s="26">
        <f>AD39/AD38*100</f>
        <v>13.009049773755658</v>
      </c>
      <c r="AE40" s="26">
        <f>AE39/AE38*100</f>
        <v>0</v>
      </c>
      <c r="AF40" s="26">
        <f>AF39/AF38*100</f>
        <v>13.114754098360656</v>
      </c>
      <c r="AG40" s="26">
        <v>0</v>
      </c>
      <c r="AH40" s="26">
        <f>AH39/AH38*100</f>
        <v>13.527180783817952</v>
      </c>
      <c r="AI40" s="113"/>
      <c r="AJ40" s="6" t="s">
        <v>12</v>
      </c>
      <c r="AK40" s="9">
        <f t="shared" ref="AK40:AQ40" si="54">+AK39/AK38*100</f>
        <v>0</v>
      </c>
      <c r="AL40" s="9">
        <f t="shared" si="54"/>
        <v>139.28571428571428</v>
      </c>
      <c r="AM40" s="9">
        <f t="shared" si="54"/>
        <v>256.25</v>
      </c>
      <c r="AN40" s="9" t="e">
        <f t="shared" si="54"/>
        <v>#DIV/0!</v>
      </c>
      <c r="AO40" s="9">
        <f t="shared" si="54"/>
        <v>0</v>
      </c>
      <c r="AP40" s="9" t="e">
        <f t="shared" si="54"/>
        <v>#DIV/0!</v>
      </c>
      <c r="AQ40" s="9">
        <f t="shared" si="54"/>
        <v>292.85714285714283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55">K9+S9+AK9</f>
        <v>149</v>
      </c>
      <c r="C46" s="83">
        <f t="shared" si="55"/>
        <v>13999</v>
      </c>
      <c r="D46" s="83">
        <f t="shared" si="55"/>
        <v>11706</v>
      </c>
      <c r="E46" s="83">
        <f t="shared" si="55"/>
        <v>5522</v>
      </c>
      <c r="F46" s="83">
        <f t="shared" si="55"/>
        <v>2103</v>
      </c>
      <c r="G46" s="83">
        <f t="shared" si="55"/>
        <v>647</v>
      </c>
      <c r="H46" s="83">
        <f t="shared" si="55"/>
        <v>3434</v>
      </c>
    </row>
    <row r="47" spans="1:43">
      <c r="A47" s="84" t="s">
        <v>50</v>
      </c>
      <c r="B47" s="151">
        <f t="shared" si="55"/>
        <v>59.2</v>
      </c>
      <c r="C47" s="83">
        <f t="shared" si="55"/>
        <v>8886</v>
      </c>
      <c r="D47" s="83">
        <f t="shared" si="55"/>
        <v>8440</v>
      </c>
      <c r="E47" s="83">
        <f t="shared" si="55"/>
        <v>4800</v>
      </c>
      <c r="F47" s="83">
        <f t="shared" si="55"/>
        <v>921</v>
      </c>
      <c r="G47" s="83">
        <f t="shared" si="55"/>
        <v>372</v>
      </c>
      <c r="H47" s="83">
        <f t="shared" si="55"/>
        <v>2347</v>
      </c>
    </row>
    <row r="48" spans="1:43">
      <c r="A48" s="85" t="s">
        <v>44</v>
      </c>
      <c r="B48" s="86">
        <f>B47/B46*100</f>
        <v>39.731543624161077</v>
      </c>
      <c r="C48" s="86">
        <f t="shared" ref="C48:H48" si="56">C47/C46*100</f>
        <v>63.475962568754909</v>
      </c>
      <c r="D48" s="86">
        <f t="shared" si="56"/>
        <v>72.09977789167948</v>
      </c>
      <c r="E48" s="86">
        <f t="shared" si="56"/>
        <v>86.925027164070983</v>
      </c>
      <c r="F48" s="86">
        <f t="shared" si="56"/>
        <v>43.794579172610554</v>
      </c>
      <c r="G48" s="86">
        <f t="shared" si="56"/>
        <v>57.496136012364765</v>
      </c>
      <c r="H48" s="86">
        <f t="shared" si="56"/>
        <v>68.345952242283047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7">K13+S13+AK13</f>
        <v>2</v>
      </c>
      <c r="C50" s="90">
        <f t="shared" si="57"/>
        <v>27</v>
      </c>
      <c r="D50" s="90">
        <f t="shared" si="57"/>
        <v>19</v>
      </c>
      <c r="E50" s="90">
        <f t="shared" si="57"/>
        <v>1</v>
      </c>
      <c r="F50" s="90">
        <f t="shared" si="57"/>
        <v>8</v>
      </c>
      <c r="G50" s="90">
        <f t="shared" si="57"/>
        <v>1</v>
      </c>
      <c r="H50" s="90">
        <f t="shared" si="57"/>
        <v>9</v>
      </c>
    </row>
    <row r="51" spans="1:8">
      <c r="A51" s="75" t="s">
        <v>50</v>
      </c>
      <c r="B51" s="90">
        <f t="shared" si="57"/>
        <v>2.2999999999999998</v>
      </c>
      <c r="C51" s="90">
        <f t="shared" si="57"/>
        <v>9</v>
      </c>
      <c r="D51" s="90">
        <f t="shared" si="57"/>
        <v>9</v>
      </c>
      <c r="E51" s="90">
        <f t="shared" si="57"/>
        <v>0</v>
      </c>
      <c r="F51" s="90">
        <f t="shared" si="57"/>
        <v>0</v>
      </c>
      <c r="G51" s="90">
        <f t="shared" si="57"/>
        <v>0</v>
      </c>
      <c r="H51" s="90">
        <f t="shared" si="57"/>
        <v>9</v>
      </c>
    </row>
    <row r="52" spans="1:8">
      <c r="A52" s="75" t="s">
        <v>44</v>
      </c>
      <c r="B52" s="91">
        <f t="shared" ref="B52:H52" si="58">B51/B50*100</f>
        <v>114.99999999999999</v>
      </c>
      <c r="C52" s="91">
        <f t="shared" si="58"/>
        <v>33.333333333333329</v>
      </c>
      <c r="D52" s="91">
        <f t="shared" si="58"/>
        <v>47.368421052631575</v>
      </c>
      <c r="E52" s="91">
        <f t="shared" si="58"/>
        <v>0</v>
      </c>
      <c r="F52" s="91">
        <f t="shared" si="58"/>
        <v>0</v>
      </c>
      <c r="G52" s="91">
        <f t="shared" si="58"/>
        <v>0</v>
      </c>
      <c r="H52" s="91">
        <f t="shared" si="58"/>
        <v>100</v>
      </c>
    </row>
    <row r="53" spans="1:8">
      <c r="A53" s="75" t="s">
        <v>13</v>
      </c>
      <c r="B53" s="90">
        <f t="shared" ref="B53:H55" si="59">K16+S16+AK16</f>
        <v>0</v>
      </c>
      <c r="C53" s="90">
        <f t="shared" si="59"/>
        <v>0</v>
      </c>
      <c r="D53" s="90">
        <f t="shared" si="59"/>
        <v>0</v>
      </c>
      <c r="E53" s="90">
        <f t="shared" si="59"/>
        <v>0</v>
      </c>
      <c r="F53" s="90">
        <f t="shared" si="59"/>
        <v>0</v>
      </c>
      <c r="G53" s="90">
        <f t="shared" si="59"/>
        <v>0</v>
      </c>
      <c r="H53" s="90">
        <f t="shared" si="59"/>
        <v>0</v>
      </c>
    </row>
    <row r="54" spans="1:8">
      <c r="A54" s="92" t="s">
        <v>14</v>
      </c>
      <c r="B54" s="90">
        <f t="shared" si="59"/>
        <v>0</v>
      </c>
      <c r="C54" s="90">
        <f t="shared" si="59"/>
        <v>0</v>
      </c>
      <c r="D54" s="90">
        <f t="shared" si="59"/>
        <v>0</v>
      </c>
      <c r="E54" s="90">
        <f t="shared" si="59"/>
        <v>0</v>
      </c>
      <c r="F54" s="90">
        <f t="shared" si="59"/>
        <v>0</v>
      </c>
      <c r="G54" s="90">
        <f t="shared" si="59"/>
        <v>0</v>
      </c>
      <c r="H54" s="90">
        <f t="shared" si="59"/>
        <v>0</v>
      </c>
    </row>
    <row r="55" spans="1:8">
      <c r="A55" s="75" t="s">
        <v>15</v>
      </c>
      <c r="B55" s="90">
        <f t="shared" si="59"/>
        <v>0</v>
      </c>
      <c r="C55" s="90">
        <f t="shared" si="59"/>
        <v>0</v>
      </c>
      <c r="D55" s="90">
        <f t="shared" si="59"/>
        <v>0</v>
      </c>
      <c r="E55" s="90">
        <f t="shared" si="59"/>
        <v>0</v>
      </c>
      <c r="F55" s="90">
        <f t="shared" si="59"/>
        <v>0</v>
      </c>
      <c r="G55" s="90">
        <f t="shared" si="59"/>
        <v>0</v>
      </c>
      <c r="H55" s="90">
        <f t="shared" si="59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0">K20+S20+AK20</f>
        <v>147</v>
      </c>
      <c r="C57" s="90">
        <f t="shared" si="60"/>
        <v>13972</v>
      </c>
      <c r="D57" s="90">
        <f t="shared" si="60"/>
        <v>11687</v>
      </c>
      <c r="E57" s="90">
        <f t="shared" si="60"/>
        <v>5521</v>
      </c>
      <c r="F57" s="90">
        <f t="shared" si="60"/>
        <v>2095</v>
      </c>
      <c r="G57" s="90">
        <f t="shared" si="60"/>
        <v>646</v>
      </c>
      <c r="H57" s="90">
        <f t="shared" si="60"/>
        <v>3425</v>
      </c>
    </row>
    <row r="58" spans="1:8">
      <c r="A58" s="92" t="s">
        <v>50</v>
      </c>
      <c r="B58" s="90">
        <f t="shared" si="60"/>
        <v>56.900000000000006</v>
      </c>
      <c r="C58" s="90">
        <f t="shared" si="60"/>
        <v>8877</v>
      </c>
      <c r="D58" s="90">
        <f t="shared" si="60"/>
        <v>8431</v>
      </c>
      <c r="E58" s="90">
        <f t="shared" si="60"/>
        <v>4800</v>
      </c>
      <c r="F58" s="90">
        <f t="shared" si="60"/>
        <v>921</v>
      </c>
      <c r="G58" s="90">
        <f t="shared" si="60"/>
        <v>372</v>
      </c>
      <c r="H58" s="90">
        <f t="shared" si="60"/>
        <v>2338</v>
      </c>
    </row>
    <row r="59" spans="1:8">
      <c r="A59" s="75" t="s">
        <v>44</v>
      </c>
      <c r="B59" s="91">
        <f t="shared" ref="B59:H59" si="61">B58/B57*100</f>
        <v>38.707482993197281</v>
      </c>
      <c r="C59" s="91">
        <f t="shared" si="61"/>
        <v>63.534211279702255</v>
      </c>
      <c r="D59" s="91">
        <f t="shared" si="61"/>
        <v>72.139984598271596</v>
      </c>
      <c r="E59" s="91">
        <f t="shared" si="61"/>
        <v>86.94077159934794</v>
      </c>
      <c r="F59" s="91">
        <f t="shared" si="61"/>
        <v>43.961813842482101</v>
      </c>
      <c r="G59" s="91">
        <f t="shared" si="61"/>
        <v>57.585139318885446</v>
      </c>
      <c r="H59" s="91">
        <f t="shared" si="61"/>
        <v>68.262773722627728</v>
      </c>
    </row>
    <row r="60" spans="1:8">
      <c r="A60" s="75" t="s">
        <v>21</v>
      </c>
      <c r="B60" s="90">
        <f t="shared" ref="B60:H61" si="62">K23+S23+AK23</f>
        <v>0</v>
      </c>
      <c r="C60" s="90">
        <f t="shared" si="62"/>
        <v>0</v>
      </c>
      <c r="D60" s="90">
        <f t="shared" si="62"/>
        <v>0</v>
      </c>
      <c r="E60" s="90">
        <f t="shared" si="62"/>
        <v>0</v>
      </c>
      <c r="F60" s="90">
        <f t="shared" si="62"/>
        <v>0</v>
      </c>
      <c r="G60" s="90">
        <f t="shared" si="62"/>
        <v>0</v>
      </c>
      <c r="H60" s="90">
        <f t="shared" si="62"/>
        <v>0</v>
      </c>
    </row>
    <row r="61" spans="1:8">
      <c r="A61" s="75" t="s">
        <v>51</v>
      </c>
      <c r="B61" s="90">
        <f t="shared" si="62"/>
        <v>0</v>
      </c>
      <c r="C61" s="90">
        <f t="shared" si="62"/>
        <v>0</v>
      </c>
      <c r="D61" s="90">
        <f t="shared" si="62"/>
        <v>0</v>
      </c>
      <c r="E61" s="90">
        <f t="shared" si="62"/>
        <v>0</v>
      </c>
      <c r="F61" s="90">
        <f t="shared" si="62"/>
        <v>0</v>
      </c>
      <c r="G61" s="90">
        <f t="shared" si="62"/>
        <v>0</v>
      </c>
      <c r="H61" s="90">
        <f t="shared" si="62"/>
        <v>0</v>
      </c>
    </row>
    <row r="62" spans="1:8">
      <c r="A62" s="75" t="s">
        <v>12</v>
      </c>
      <c r="B62" s="91" t="e">
        <f t="shared" ref="B62:H62" si="63">B61/B60*100</f>
        <v>#DIV/0!</v>
      </c>
      <c r="C62" s="91" t="e">
        <f t="shared" si="63"/>
        <v>#DIV/0!</v>
      </c>
      <c r="D62" s="91" t="e">
        <f t="shared" si="63"/>
        <v>#DIV/0!</v>
      </c>
      <c r="E62" s="91" t="e">
        <f t="shared" si="63"/>
        <v>#DIV/0!</v>
      </c>
      <c r="F62" s="91" t="e">
        <f t="shared" si="63"/>
        <v>#DIV/0!</v>
      </c>
      <c r="G62" s="91" t="e">
        <f t="shared" si="63"/>
        <v>#DIV/0!</v>
      </c>
      <c r="H62" s="91" t="e">
        <f t="shared" si="63"/>
        <v>#DIV/0!</v>
      </c>
    </row>
    <row r="63" spans="1:8">
      <c r="A63" s="75" t="s">
        <v>23</v>
      </c>
      <c r="B63" s="90">
        <f t="shared" ref="B63:H64" si="64">K26+S26+AK26</f>
        <v>1</v>
      </c>
      <c r="C63" s="90">
        <f t="shared" si="64"/>
        <v>5</v>
      </c>
      <c r="D63" s="90">
        <f t="shared" si="64"/>
        <v>4</v>
      </c>
      <c r="E63" s="90">
        <f t="shared" si="64"/>
        <v>2</v>
      </c>
      <c r="F63" s="90">
        <f t="shared" si="64"/>
        <v>1</v>
      </c>
      <c r="G63" s="90">
        <f t="shared" si="64"/>
        <v>0</v>
      </c>
      <c r="H63" s="90">
        <f t="shared" si="64"/>
        <v>1</v>
      </c>
    </row>
    <row r="64" spans="1:8">
      <c r="A64" s="75" t="s">
        <v>45</v>
      </c>
      <c r="B64" s="90">
        <f t="shared" si="64"/>
        <v>0</v>
      </c>
      <c r="C64" s="90">
        <f t="shared" si="64"/>
        <v>0</v>
      </c>
      <c r="D64" s="90">
        <f t="shared" si="64"/>
        <v>0</v>
      </c>
      <c r="E64" s="90">
        <f t="shared" si="64"/>
        <v>0</v>
      </c>
      <c r="F64" s="90">
        <f t="shared" si="64"/>
        <v>0</v>
      </c>
      <c r="G64" s="90">
        <f t="shared" si="64"/>
        <v>0</v>
      </c>
      <c r="H64" s="90">
        <f t="shared" si="64"/>
        <v>0</v>
      </c>
    </row>
    <row r="65" spans="1:8">
      <c r="A65" s="75" t="s">
        <v>12</v>
      </c>
      <c r="B65" s="91">
        <f t="shared" ref="B65:H65" si="65">B64/B63*100</f>
        <v>0</v>
      </c>
      <c r="C65" s="91">
        <f t="shared" si="65"/>
        <v>0</v>
      </c>
      <c r="D65" s="91">
        <f t="shared" si="65"/>
        <v>0</v>
      </c>
      <c r="E65" s="91">
        <f t="shared" si="65"/>
        <v>0</v>
      </c>
      <c r="F65" s="91">
        <f t="shared" si="65"/>
        <v>0</v>
      </c>
      <c r="G65" s="91" t="e">
        <f t="shared" si="65"/>
        <v>#DIV/0!</v>
      </c>
      <c r="H65" s="91">
        <f t="shared" si="65"/>
        <v>0</v>
      </c>
    </row>
    <row r="66" spans="1:8">
      <c r="A66" s="75" t="s">
        <v>25</v>
      </c>
      <c r="B66" s="90">
        <f t="shared" ref="B66:H67" si="66">K29+S29+AK29</f>
        <v>0</v>
      </c>
      <c r="C66" s="90">
        <f t="shared" si="66"/>
        <v>0</v>
      </c>
      <c r="D66" s="90">
        <f t="shared" si="66"/>
        <v>0</v>
      </c>
      <c r="E66" s="90">
        <f t="shared" si="66"/>
        <v>0</v>
      </c>
      <c r="F66" s="90">
        <f t="shared" si="66"/>
        <v>0</v>
      </c>
      <c r="G66" s="90">
        <f t="shared" si="66"/>
        <v>0</v>
      </c>
      <c r="H66" s="90">
        <f t="shared" si="66"/>
        <v>0</v>
      </c>
    </row>
    <row r="67" spans="1:8">
      <c r="A67" s="75" t="s">
        <v>46</v>
      </c>
      <c r="B67" s="90">
        <f t="shared" si="66"/>
        <v>0</v>
      </c>
      <c r="C67" s="90">
        <f t="shared" si="66"/>
        <v>0</v>
      </c>
      <c r="D67" s="90">
        <f t="shared" si="66"/>
        <v>0</v>
      </c>
      <c r="E67" s="90">
        <f t="shared" si="66"/>
        <v>0</v>
      </c>
      <c r="F67" s="90">
        <f t="shared" si="66"/>
        <v>0</v>
      </c>
      <c r="G67" s="90">
        <f t="shared" si="66"/>
        <v>0</v>
      </c>
      <c r="H67" s="90">
        <f t="shared" si="66"/>
        <v>0</v>
      </c>
    </row>
    <row r="68" spans="1:8">
      <c r="A68" s="75" t="s">
        <v>12</v>
      </c>
      <c r="B68" s="91" t="e">
        <f t="shared" ref="B68:H68" si="67">B67/B66*100</f>
        <v>#DIV/0!</v>
      </c>
      <c r="C68" s="91" t="e">
        <f t="shared" si="67"/>
        <v>#DIV/0!</v>
      </c>
      <c r="D68" s="91" t="e">
        <f t="shared" si="67"/>
        <v>#DIV/0!</v>
      </c>
      <c r="E68" s="91" t="e">
        <f t="shared" si="67"/>
        <v>#DIV/0!</v>
      </c>
      <c r="F68" s="91" t="e">
        <f t="shared" si="67"/>
        <v>#DIV/0!</v>
      </c>
      <c r="G68" s="91" t="e">
        <f t="shared" si="67"/>
        <v>#DIV/0!</v>
      </c>
      <c r="H68" s="91" t="e">
        <f t="shared" si="67"/>
        <v>#DIV/0!</v>
      </c>
    </row>
    <row r="69" spans="1:8">
      <c r="A69" s="75" t="s">
        <v>27</v>
      </c>
      <c r="B69" s="90">
        <f t="shared" ref="B69:H70" si="68">K32+S32+AK32</f>
        <v>41</v>
      </c>
      <c r="C69" s="90">
        <f t="shared" si="68"/>
        <v>8650</v>
      </c>
      <c r="D69" s="90">
        <f t="shared" si="68"/>
        <v>7238</v>
      </c>
      <c r="E69" s="90">
        <f t="shared" si="68"/>
        <v>5467</v>
      </c>
      <c r="F69" s="90">
        <f t="shared" si="68"/>
        <v>1079</v>
      </c>
      <c r="G69" s="90">
        <f t="shared" si="68"/>
        <v>177</v>
      </c>
      <c r="H69" s="90">
        <f t="shared" si="68"/>
        <v>515</v>
      </c>
    </row>
    <row r="70" spans="1:8">
      <c r="A70" s="75" t="s">
        <v>47</v>
      </c>
      <c r="B70" s="90">
        <f t="shared" si="68"/>
        <v>24.6</v>
      </c>
      <c r="C70" s="90">
        <f t="shared" si="68"/>
        <v>6636</v>
      </c>
      <c r="D70" s="90">
        <f t="shared" si="68"/>
        <v>6320</v>
      </c>
      <c r="E70" s="90">
        <f t="shared" si="68"/>
        <v>4681</v>
      </c>
      <c r="F70" s="90">
        <f t="shared" si="68"/>
        <v>598</v>
      </c>
      <c r="G70" s="90">
        <f t="shared" si="68"/>
        <v>308</v>
      </c>
      <c r="H70" s="90">
        <f t="shared" si="68"/>
        <v>733</v>
      </c>
    </row>
    <row r="71" spans="1:8">
      <c r="A71" s="75" t="s">
        <v>12</v>
      </c>
      <c r="B71" s="91">
        <f t="shared" ref="B71:H71" si="69">B70/B69*100</f>
        <v>60.000000000000007</v>
      </c>
      <c r="C71" s="91">
        <f t="shared" si="69"/>
        <v>76.716763005780336</v>
      </c>
      <c r="D71" s="91">
        <f t="shared" si="69"/>
        <v>87.316938380768178</v>
      </c>
      <c r="E71" s="91">
        <f t="shared" si="69"/>
        <v>85.622827876349007</v>
      </c>
      <c r="F71" s="91">
        <f t="shared" si="69"/>
        <v>55.421686746987952</v>
      </c>
      <c r="G71" s="91">
        <f t="shared" si="69"/>
        <v>174.01129943502823</v>
      </c>
      <c r="H71" s="91">
        <f t="shared" si="69"/>
        <v>142.33009708737865</v>
      </c>
    </row>
    <row r="72" spans="1:8">
      <c r="A72" s="75" t="s">
        <v>29</v>
      </c>
      <c r="B72" s="90">
        <f t="shared" ref="B72:H73" si="70">K35+S35+AK35</f>
        <v>96</v>
      </c>
      <c r="C72" s="90">
        <f t="shared" si="70"/>
        <v>4126</v>
      </c>
      <c r="D72" s="90">
        <f t="shared" si="70"/>
        <v>3464</v>
      </c>
      <c r="E72" s="90">
        <f t="shared" si="70"/>
        <v>19</v>
      </c>
      <c r="F72" s="90">
        <f t="shared" si="70"/>
        <v>925</v>
      </c>
      <c r="G72" s="90">
        <f t="shared" si="70"/>
        <v>450</v>
      </c>
      <c r="H72" s="90">
        <f t="shared" si="70"/>
        <v>2070</v>
      </c>
    </row>
    <row r="73" spans="1:8">
      <c r="A73" s="75" t="s">
        <v>48</v>
      </c>
      <c r="B73" s="90">
        <f t="shared" si="70"/>
        <v>30.1</v>
      </c>
      <c r="C73" s="90">
        <f t="shared" si="70"/>
        <v>1261</v>
      </c>
      <c r="D73" s="90">
        <f t="shared" si="70"/>
        <v>1192</v>
      </c>
      <c r="E73" s="90">
        <f t="shared" si="70"/>
        <v>0</v>
      </c>
      <c r="F73" s="90">
        <f t="shared" si="70"/>
        <v>295</v>
      </c>
      <c r="G73" s="90">
        <f t="shared" si="70"/>
        <v>63</v>
      </c>
      <c r="H73" s="90">
        <f t="shared" si="70"/>
        <v>834</v>
      </c>
    </row>
    <row r="74" spans="1:8">
      <c r="A74" s="75" t="s">
        <v>12</v>
      </c>
      <c r="B74" s="91">
        <f t="shared" ref="B74:H74" si="71">B73/B72*100</f>
        <v>31.354166666666668</v>
      </c>
      <c r="C74" s="91">
        <f t="shared" si="71"/>
        <v>30.562287930198739</v>
      </c>
      <c r="D74" s="91">
        <f t="shared" si="71"/>
        <v>34.41108545034642</v>
      </c>
      <c r="E74" s="91">
        <f t="shared" si="71"/>
        <v>0</v>
      </c>
      <c r="F74" s="91">
        <f t="shared" si="71"/>
        <v>31.891891891891895</v>
      </c>
      <c r="G74" s="91">
        <f t="shared" si="71"/>
        <v>14.000000000000002</v>
      </c>
      <c r="H74" s="91">
        <f t="shared" si="71"/>
        <v>40.289855072463773</v>
      </c>
    </row>
    <row r="75" spans="1:8">
      <c r="A75" s="75" t="s">
        <v>31</v>
      </c>
      <c r="B75" s="90">
        <f t="shared" ref="B75:H76" si="72">K38+S38+AK38</f>
        <v>9</v>
      </c>
      <c r="C75" s="90">
        <f t="shared" si="72"/>
        <v>1191</v>
      </c>
      <c r="D75" s="90">
        <f t="shared" si="72"/>
        <v>981</v>
      </c>
      <c r="E75" s="90">
        <f t="shared" si="72"/>
        <v>33</v>
      </c>
      <c r="F75" s="90">
        <f t="shared" si="72"/>
        <v>90</v>
      </c>
      <c r="G75" s="90">
        <f t="shared" si="72"/>
        <v>19</v>
      </c>
      <c r="H75" s="90">
        <f t="shared" si="72"/>
        <v>839</v>
      </c>
    </row>
    <row r="76" spans="1:8">
      <c r="A76" s="75" t="s">
        <v>52</v>
      </c>
      <c r="B76" s="90">
        <f t="shared" si="72"/>
        <v>2.2000000000000002</v>
      </c>
      <c r="C76" s="90">
        <f t="shared" si="72"/>
        <v>980</v>
      </c>
      <c r="D76" s="90">
        <f t="shared" si="72"/>
        <v>919</v>
      </c>
      <c r="E76" s="90">
        <f t="shared" si="72"/>
        <v>119</v>
      </c>
      <c r="F76" s="90">
        <f t="shared" si="72"/>
        <v>28</v>
      </c>
      <c r="G76" s="90">
        <f t="shared" si="72"/>
        <v>1</v>
      </c>
      <c r="H76" s="90">
        <f t="shared" si="72"/>
        <v>771</v>
      </c>
    </row>
    <row r="77" spans="1:8">
      <c r="A77" s="75" t="s">
        <v>12</v>
      </c>
      <c r="B77" s="91">
        <f t="shared" ref="B77:H77" si="73">B76/B75*100</f>
        <v>24.444444444444446</v>
      </c>
      <c r="C77" s="91">
        <f t="shared" si="73"/>
        <v>82.283795130142735</v>
      </c>
      <c r="D77" s="91">
        <f t="shared" si="73"/>
        <v>93.679918450560649</v>
      </c>
      <c r="E77" s="91">
        <f t="shared" si="73"/>
        <v>360.60606060606062</v>
      </c>
      <c r="F77" s="91">
        <f t="shared" si="73"/>
        <v>31.111111111111111</v>
      </c>
      <c r="G77" s="91">
        <f t="shared" si="73"/>
        <v>5.2631578947368416</v>
      </c>
      <c r="H77" s="91">
        <f t="shared" si="73"/>
        <v>91.895113230035747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74">B9-B46</f>
        <v>0</v>
      </c>
      <c r="C83" s="83">
        <f t="shared" si="74"/>
        <v>0</v>
      </c>
      <c r="D83" s="83">
        <f t="shared" si="74"/>
        <v>0</v>
      </c>
      <c r="E83" s="83">
        <f t="shared" si="74"/>
        <v>0</v>
      </c>
      <c r="F83" s="83">
        <f t="shared" si="74"/>
        <v>0</v>
      </c>
      <c r="G83" s="83">
        <f t="shared" si="74"/>
        <v>0</v>
      </c>
      <c r="H83" s="83">
        <f t="shared" si="74"/>
        <v>0</v>
      </c>
    </row>
    <row r="84" spans="1:8">
      <c r="A84" s="84" t="s">
        <v>50</v>
      </c>
      <c r="B84" s="83">
        <f t="shared" si="74"/>
        <v>0</v>
      </c>
      <c r="C84" s="83">
        <f t="shared" si="74"/>
        <v>0</v>
      </c>
      <c r="D84" s="83">
        <f t="shared" si="74"/>
        <v>0</v>
      </c>
      <c r="E84" s="83">
        <f t="shared" si="74"/>
        <v>0</v>
      </c>
      <c r="F84" s="83">
        <f t="shared" si="74"/>
        <v>0</v>
      </c>
      <c r="G84" s="83">
        <f t="shared" si="74"/>
        <v>0</v>
      </c>
      <c r="H84" s="83">
        <f t="shared" si="74"/>
        <v>0</v>
      </c>
    </row>
    <row r="85" spans="1:8">
      <c r="A85" s="85" t="s">
        <v>44</v>
      </c>
      <c r="B85" s="83">
        <f t="shared" si="74"/>
        <v>0</v>
      </c>
      <c r="C85" s="83">
        <f t="shared" si="74"/>
        <v>0</v>
      </c>
      <c r="D85" s="83">
        <f t="shared" si="74"/>
        <v>0</v>
      </c>
      <c r="E85" s="83">
        <f t="shared" si="74"/>
        <v>0</v>
      </c>
      <c r="F85" s="83">
        <f t="shared" si="74"/>
        <v>0</v>
      </c>
      <c r="G85" s="83">
        <f t="shared" si="74"/>
        <v>0</v>
      </c>
      <c r="H85" s="83">
        <f t="shared" si="74"/>
        <v>0</v>
      </c>
    </row>
    <row r="86" spans="1:8">
      <c r="A86" s="87" t="s">
        <v>11</v>
      </c>
      <c r="B86" s="83">
        <f t="shared" si="74"/>
        <v>0</v>
      </c>
      <c r="C86" s="83">
        <f t="shared" si="74"/>
        <v>0</v>
      </c>
      <c r="D86" s="83">
        <f t="shared" si="74"/>
        <v>0</v>
      </c>
      <c r="E86" s="83">
        <f t="shared" si="74"/>
        <v>0</v>
      </c>
      <c r="F86" s="83">
        <f t="shared" si="74"/>
        <v>0</v>
      </c>
      <c r="G86" s="83">
        <f t="shared" si="74"/>
        <v>0</v>
      </c>
      <c r="H86" s="83">
        <f t="shared" si="74"/>
        <v>0</v>
      </c>
    </row>
    <row r="87" spans="1:8">
      <c r="A87" s="75" t="s">
        <v>40</v>
      </c>
      <c r="B87" s="83">
        <f t="shared" si="74"/>
        <v>0</v>
      </c>
      <c r="C87" s="83">
        <f t="shared" si="74"/>
        <v>0</v>
      </c>
      <c r="D87" s="83">
        <f t="shared" si="74"/>
        <v>0</v>
      </c>
      <c r="E87" s="83">
        <f t="shared" si="74"/>
        <v>0</v>
      </c>
      <c r="F87" s="83">
        <f t="shared" si="74"/>
        <v>0</v>
      </c>
      <c r="G87" s="83">
        <f t="shared" si="74"/>
        <v>0</v>
      </c>
      <c r="H87" s="83">
        <f t="shared" si="74"/>
        <v>0</v>
      </c>
    </row>
    <row r="88" spans="1:8">
      <c r="A88" s="75" t="s">
        <v>50</v>
      </c>
      <c r="B88" s="83">
        <f t="shared" si="74"/>
        <v>0</v>
      </c>
      <c r="C88" s="83">
        <f t="shared" si="74"/>
        <v>0</v>
      </c>
      <c r="D88" s="83">
        <f t="shared" si="74"/>
        <v>0</v>
      </c>
      <c r="E88" s="83">
        <f t="shared" si="74"/>
        <v>0</v>
      </c>
      <c r="F88" s="83">
        <f t="shared" si="74"/>
        <v>0</v>
      </c>
      <c r="G88" s="83">
        <f t="shared" si="74"/>
        <v>0</v>
      </c>
      <c r="H88" s="83">
        <f t="shared" si="74"/>
        <v>0</v>
      </c>
    </row>
    <row r="89" spans="1:8">
      <c r="A89" s="75" t="s">
        <v>44</v>
      </c>
      <c r="B89" s="83">
        <f t="shared" si="74"/>
        <v>0</v>
      </c>
      <c r="C89" s="83">
        <f t="shared" si="74"/>
        <v>0</v>
      </c>
      <c r="D89" s="83">
        <f t="shared" si="74"/>
        <v>0</v>
      </c>
      <c r="E89" s="83">
        <f t="shared" si="74"/>
        <v>0</v>
      </c>
      <c r="F89" s="83">
        <f t="shared" si="74"/>
        <v>0</v>
      </c>
      <c r="G89" s="83">
        <f t="shared" si="74"/>
        <v>0</v>
      </c>
      <c r="H89" s="83">
        <f t="shared" si="74"/>
        <v>0</v>
      </c>
    </row>
    <row r="90" spans="1:8">
      <c r="A90" s="75" t="s">
        <v>13</v>
      </c>
      <c r="B90" s="83">
        <f t="shared" si="74"/>
        <v>0</v>
      </c>
      <c r="C90" s="83">
        <f t="shared" si="74"/>
        <v>0</v>
      </c>
      <c r="D90" s="83">
        <f t="shared" si="74"/>
        <v>0</v>
      </c>
      <c r="E90" s="83">
        <f t="shared" si="74"/>
        <v>0</v>
      </c>
      <c r="F90" s="83">
        <f t="shared" si="74"/>
        <v>0</v>
      </c>
      <c r="G90" s="83">
        <f t="shared" si="74"/>
        <v>0</v>
      </c>
      <c r="H90" s="83">
        <f t="shared" si="74"/>
        <v>0</v>
      </c>
    </row>
    <row r="91" spans="1:8">
      <c r="A91" s="92" t="s">
        <v>14</v>
      </c>
      <c r="B91" s="83">
        <f t="shared" si="74"/>
        <v>0</v>
      </c>
      <c r="C91" s="83">
        <f t="shared" si="74"/>
        <v>0</v>
      </c>
      <c r="D91" s="83">
        <f t="shared" si="74"/>
        <v>0</v>
      </c>
      <c r="E91" s="83">
        <f t="shared" si="74"/>
        <v>0</v>
      </c>
      <c r="F91" s="83">
        <f t="shared" si="74"/>
        <v>0</v>
      </c>
      <c r="G91" s="83">
        <f t="shared" si="74"/>
        <v>0</v>
      </c>
      <c r="H91" s="83">
        <f t="shared" si="74"/>
        <v>0</v>
      </c>
    </row>
    <row r="92" spans="1:8">
      <c r="A92" s="75" t="s">
        <v>15</v>
      </c>
      <c r="B92" s="83">
        <f t="shared" si="74"/>
        <v>0</v>
      </c>
      <c r="C92" s="83">
        <f t="shared" si="74"/>
        <v>0</v>
      </c>
      <c r="D92" s="83">
        <f t="shared" si="74"/>
        <v>0</v>
      </c>
      <c r="E92" s="83">
        <f t="shared" si="74"/>
        <v>0</v>
      </c>
      <c r="F92" s="83">
        <f t="shared" si="74"/>
        <v>0</v>
      </c>
      <c r="G92" s="83">
        <f t="shared" si="74"/>
        <v>0</v>
      </c>
      <c r="H92" s="83">
        <f t="shared" si="74"/>
        <v>0</v>
      </c>
    </row>
    <row r="93" spans="1:8">
      <c r="A93" s="87" t="s">
        <v>16</v>
      </c>
      <c r="B93" s="83">
        <f t="shared" si="74"/>
        <v>0</v>
      </c>
      <c r="C93" s="83">
        <f t="shared" si="74"/>
        <v>0</v>
      </c>
      <c r="D93" s="83">
        <f t="shared" si="74"/>
        <v>0</v>
      </c>
      <c r="E93" s="83">
        <f t="shared" si="74"/>
        <v>0</v>
      </c>
      <c r="F93" s="83">
        <f t="shared" si="74"/>
        <v>0</v>
      </c>
      <c r="G93" s="83">
        <f t="shared" si="74"/>
        <v>0</v>
      </c>
      <c r="H93" s="83">
        <f t="shared" si="74"/>
        <v>0</v>
      </c>
    </row>
    <row r="94" spans="1:8">
      <c r="A94" s="75" t="s">
        <v>40</v>
      </c>
      <c r="B94" s="83">
        <f t="shared" si="74"/>
        <v>0</v>
      </c>
      <c r="C94" s="83">
        <f t="shared" si="74"/>
        <v>0</v>
      </c>
      <c r="D94" s="83">
        <f t="shared" si="74"/>
        <v>0</v>
      </c>
      <c r="E94" s="83">
        <f t="shared" si="74"/>
        <v>0</v>
      </c>
      <c r="F94" s="83">
        <f t="shared" si="74"/>
        <v>0</v>
      </c>
      <c r="G94" s="83">
        <f t="shared" si="74"/>
        <v>0</v>
      </c>
      <c r="H94" s="83">
        <f t="shared" si="74"/>
        <v>0</v>
      </c>
    </row>
    <row r="95" spans="1:8">
      <c r="A95" s="92" t="s">
        <v>50</v>
      </c>
      <c r="B95" s="83">
        <f t="shared" si="74"/>
        <v>0</v>
      </c>
      <c r="C95" s="83">
        <f t="shared" si="74"/>
        <v>0</v>
      </c>
      <c r="D95" s="83">
        <f t="shared" si="74"/>
        <v>0</v>
      </c>
      <c r="E95" s="83">
        <f t="shared" si="74"/>
        <v>0</v>
      </c>
      <c r="F95" s="83">
        <f t="shared" si="74"/>
        <v>0</v>
      </c>
      <c r="G95" s="83">
        <f t="shared" si="74"/>
        <v>0</v>
      </c>
      <c r="H95" s="83">
        <f t="shared" si="74"/>
        <v>0</v>
      </c>
    </row>
    <row r="96" spans="1:8">
      <c r="A96" s="75" t="s">
        <v>44</v>
      </c>
      <c r="B96" s="83">
        <f t="shared" si="74"/>
        <v>0</v>
      </c>
      <c r="C96" s="83">
        <f t="shared" si="74"/>
        <v>0</v>
      </c>
      <c r="D96" s="83">
        <f t="shared" si="74"/>
        <v>0</v>
      </c>
      <c r="E96" s="83">
        <f t="shared" si="74"/>
        <v>0</v>
      </c>
      <c r="F96" s="83">
        <f t="shared" si="74"/>
        <v>0</v>
      </c>
      <c r="G96" s="83">
        <f t="shared" si="74"/>
        <v>0</v>
      </c>
      <c r="H96" s="83">
        <f t="shared" si="74"/>
        <v>0</v>
      </c>
    </row>
    <row r="97" spans="1:8">
      <c r="A97" s="75" t="s">
        <v>21</v>
      </c>
      <c r="B97" s="83">
        <f t="shared" si="74"/>
        <v>0</v>
      </c>
      <c r="C97" s="83">
        <f t="shared" si="74"/>
        <v>0</v>
      </c>
      <c r="D97" s="83">
        <f t="shared" si="74"/>
        <v>0</v>
      </c>
      <c r="E97" s="83">
        <f t="shared" si="74"/>
        <v>0</v>
      </c>
      <c r="F97" s="83">
        <f t="shared" si="74"/>
        <v>0</v>
      </c>
      <c r="G97" s="83">
        <f t="shared" si="74"/>
        <v>0</v>
      </c>
      <c r="H97" s="83">
        <f t="shared" si="74"/>
        <v>0</v>
      </c>
    </row>
    <row r="98" spans="1:8">
      <c r="A98" s="75" t="s">
        <v>51</v>
      </c>
      <c r="B98" s="83">
        <f t="shared" si="74"/>
        <v>0</v>
      </c>
      <c r="C98" s="83">
        <f t="shared" si="74"/>
        <v>0</v>
      </c>
      <c r="D98" s="83">
        <f t="shared" si="74"/>
        <v>0</v>
      </c>
      <c r="E98" s="83">
        <f t="shared" si="74"/>
        <v>0</v>
      </c>
      <c r="F98" s="83">
        <f t="shared" si="74"/>
        <v>0</v>
      </c>
      <c r="G98" s="83">
        <f t="shared" si="74"/>
        <v>0</v>
      </c>
      <c r="H98" s="83">
        <f t="shared" si="74"/>
        <v>0</v>
      </c>
    </row>
    <row r="99" spans="1:8">
      <c r="A99" s="75" t="s">
        <v>12</v>
      </c>
      <c r="B99" s="83" t="e">
        <f t="shared" ref="B99:H114" si="75">B25-B62</f>
        <v>#DIV/0!</v>
      </c>
      <c r="C99" s="83" t="e">
        <f t="shared" si="75"/>
        <v>#DIV/0!</v>
      </c>
      <c r="D99" s="83" t="e">
        <f t="shared" si="75"/>
        <v>#DIV/0!</v>
      </c>
      <c r="E99" s="83" t="e">
        <f t="shared" si="75"/>
        <v>#DIV/0!</v>
      </c>
      <c r="F99" s="83" t="e">
        <f t="shared" si="75"/>
        <v>#DIV/0!</v>
      </c>
      <c r="G99" s="83" t="e">
        <f t="shared" si="75"/>
        <v>#DIV/0!</v>
      </c>
      <c r="H99" s="83" t="e">
        <f t="shared" si="75"/>
        <v>#DIV/0!</v>
      </c>
    </row>
    <row r="100" spans="1:8">
      <c r="A100" s="75" t="s">
        <v>23</v>
      </c>
      <c r="B100" s="83">
        <f t="shared" si="75"/>
        <v>0</v>
      </c>
      <c r="C100" s="83">
        <f t="shared" si="75"/>
        <v>0</v>
      </c>
      <c r="D100" s="83">
        <f t="shared" si="75"/>
        <v>0</v>
      </c>
      <c r="E100" s="83">
        <f t="shared" si="75"/>
        <v>0</v>
      </c>
      <c r="F100" s="83">
        <f t="shared" si="75"/>
        <v>0</v>
      </c>
      <c r="G100" s="83">
        <f t="shared" si="75"/>
        <v>0</v>
      </c>
      <c r="H100" s="83">
        <f t="shared" si="75"/>
        <v>0</v>
      </c>
    </row>
    <row r="101" spans="1:8">
      <c r="A101" s="75" t="s">
        <v>45</v>
      </c>
      <c r="B101" s="83">
        <f t="shared" si="75"/>
        <v>0</v>
      </c>
      <c r="C101" s="83">
        <f t="shared" si="75"/>
        <v>0</v>
      </c>
      <c r="D101" s="83">
        <f t="shared" si="75"/>
        <v>0</v>
      </c>
      <c r="E101" s="83">
        <f t="shared" si="75"/>
        <v>0</v>
      </c>
      <c r="F101" s="83">
        <f t="shared" si="75"/>
        <v>0</v>
      </c>
      <c r="G101" s="83">
        <f t="shared" si="75"/>
        <v>0</v>
      </c>
      <c r="H101" s="83">
        <f t="shared" si="75"/>
        <v>0</v>
      </c>
    </row>
    <row r="102" spans="1:8">
      <c r="A102" s="75" t="s">
        <v>12</v>
      </c>
      <c r="B102" s="83">
        <f t="shared" si="75"/>
        <v>0</v>
      </c>
      <c r="C102" s="83">
        <f t="shared" si="75"/>
        <v>0</v>
      </c>
      <c r="D102" s="83">
        <f t="shared" si="75"/>
        <v>0</v>
      </c>
      <c r="E102" s="83">
        <f t="shared" si="75"/>
        <v>0</v>
      </c>
      <c r="F102" s="83">
        <f t="shared" si="75"/>
        <v>0</v>
      </c>
      <c r="G102" s="83" t="e">
        <f t="shared" si="75"/>
        <v>#DIV/0!</v>
      </c>
      <c r="H102" s="83">
        <f t="shared" si="75"/>
        <v>0</v>
      </c>
    </row>
    <row r="103" spans="1:8">
      <c r="A103" s="75" t="s">
        <v>25</v>
      </c>
      <c r="B103" s="83">
        <f t="shared" si="75"/>
        <v>0</v>
      </c>
      <c r="C103" s="83">
        <f t="shared" si="75"/>
        <v>0</v>
      </c>
      <c r="D103" s="83">
        <f t="shared" si="75"/>
        <v>0</v>
      </c>
      <c r="E103" s="83">
        <f t="shared" si="75"/>
        <v>0</v>
      </c>
      <c r="F103" s="83">
        <f t="shared" si="75"/>
        <v>0</v>
      </c>
      <c r="G103" s="83">
        <f t="shared" si="75"/>
        <v>0</v>
      </c>
      <c r="H103" s="83">
        <f t="shared" si="75"/>
        <v>0</v>
      </c>
    </row>
    <row r="104" spans="1:8">
      <c r="A104" s="75" t="s">
        <v>46</v>
      </c>
      <c r="B104" s="83">
        <f t="shared" si="75"/>
        <v>0</v>
      </c>
      <c r="C104" s="83">
        <f t="shared" si="75"/>
        <v>0</v>
      </c>
      <c r="D104" s="83">
        <f t="shared" si="75"/>
        <v>0</v>
      </c>
      <c r="E104" s="83">
        <f t="shared" si="75"/>
        <v>0</v>
      </c>
      <c r="F104" s="83">
        <f t="shared" si="75"/>
        <v>0</v>
      </c>
      <c r="G104" s="83">
        <f t="shared" si="75"/>
        <v>0</v>
      </c>
      <c r="H104" s="83">
        <f t="shared" si="75"/>
        <v>0</v>
      </c>
    </row>
    <row r="105" spans="1:8">
      <c r="A105" s="75" t="s">
        <v>12</v>
      </c>
      <c r="B105" s="83" t="e">
        <f t="shared" si="75"/>
        <v>#DIV/0!</v>
      </c>
      <c r="C105" s="83" t="e">
        <f t="shared" si="75"/>
        <v>#DIV/0!</v>
      </c>
      <c r="D105" s="83" t="e">
        <f t="shared" si="75"/>
        <v>#DIV/0!</v>
      </c>
      <c r="E105" s="83" t="e">
        <f t="shared" si="75"/>
        <v>#DIV/0!</v>
      </c>
      <c r="F105" s="83" t="e">
        <f t="shared" si="75"/>
        <v>#DIV/0!</v>
      </c>
      <c r="G105" s="83" t="e">
        <f t="shared" si="75"/>
        <v>#DIV/0!</v>
      </c>
      <c r="H105" s="83" t="e">
        <f t="shared" si="75"/>
        <v>#DIV/0!</v>
      </c>
    </row>
    <row r="106" spans="1:8">
      <c r="A106" s="75" t="s">
        <v>27</v>
      </c>
      <c r="B106" s="83">
        <f t="shared" si="75"/>
        <v>0</v>
      </c>
      <c r="C106" s="83">
        <f t="shared" si="75"/>
        <v>0</v>
      </c>
      <c r="D106" s="83">
        <f t="shared" si="75"/>
        <v>0</v>
      </c>
      <c r="E106" s="83">
        <f t="shared" si="75"/>
        <v>0</v>
      </c>
      <c r="F106" s="83">
        <f t="shared" si="75"/>
        <v>0</v>
      </c>
      <c r="G106" s="83">
        <f t="shared" si="75"/>
        <v>0</v>
      </c>
      <c r="H106" s="83">
        <f t="shared" si="75"/>
        <v>0</v>
      </c>
    </row>
    <row r="107" spans="1:8">
      <c r="A107" s="75" t="s">
        <v>47</v>
      </c>
      <c r="B107" s="83">
        <f t="shared" si="75"/>
        <v>0</v>
      </c>
      <c r="C107" s="83">
        <f t="shared" si="75"/>
        <v>0</v>
      </c>
      <c r="D107" s="83">
        <f t="shared" si="75"/>
        <v>0</v>
      </c>
      <c r="E107" s="83">
        <f t="shared" si="75"/>
        <v>0</v>
      </c>
      <c r="F107" s="83">
        <f t="shared" si="75"/>
        <v>0</v>
      </c>
      <c r="G107" s="83">
        <f t="shared" si="75"/>
        <v>0</v>
      </c>
      <c r="H107" s="83">
        <f t="shared" si="75"/>
        <v>0</v>
      </c>
    </row>
    <row r="108" spans="1:8">
      <c r="A108" s="75" t="s">
        <v>12</v>
      </c>
      <c r="B108" s="83">
        <f t="shared" si="75"/>
        <v>0</v>
      </c>
      <c r="C108" s="83">
        <f t="shared" si="75"/>
        <v>0</v>
      </c>
      <c r="D108" s="83">
        <f t="shared" si="75"/>
        <v>0</v>
      </c>
      <c r="E108" s="83">
        <f t="shared" si="75"/>
        <v>0</v>
      </c>
      <c r="F108" s="83">
        <f t="shared" si="75"/>
        <v>0</v>
      </c>
      <c r="G108" s="83">
        <f t="shared" si="75"/>
        <v>0</v>
      </c>
      <c r="H108" s="83">
        <f t="shared" si="75"/>
        <v>0</v>
      </c>
    </row>
    <row r="109" spans="1:8">
      <c r="A109" s="75" t="s">
        <v>29</v>
      </c>
      <c r="B109" s="83">
        <f t="shared" si="75"/>
        <v>0</v>
      </c>
      <c r="C109" s="83">
        <f t="shared" si="75"/>
        <v>0</v>
      </c>
      <c r="D109" s="83">
        <f t="shared" si="75"/>
        <v>0</v>
      </c>
      <c r="E109" s="83">
        <f t="shared" si="75"/>
        <v>0</v>
      </c>
      <c r="F109" s="83">
        <f t="shared" si="75"/>
        <v>0</v>
      </c>
      <c r="G109" s="83">
        <f t="shared" si="75"/>
        <v>0</v>
      </c>
      <c r="H109" s="83">
        <f t="shared" si="75"/>
        <v>0</v>
      </c>
    </row>
    <row r="110" spans="1:8">
      <c r="A110" s="75" t="s">
        <v>48</v>
      </c>
      <c r="B110" s="83">
        <f t="shared" si="75"/>
        <v>0</v>
      </c>
      <c r="C110" s="83">
        <f t="shared" si="75"/>
        <v>0</v>
      </c>
      <c r="D110" s="83">
        <f t="shared" si="75"/>
        <v>0</v>
      </c>
      <c r="E110" s="83">
        <f t="shared" si="75"/>
        <v>0</v>
      </c>
      <c r="F110" s="83">
        <f t="shared" si="75"/>
        <v>0</v>
      </c>
      <c r="G110" s="83">
        <f t="shared" si="75"/>
        <v>0</v>
      </c>
      <c r="H110" s="83">
        <f t="shared" si="75"/>
        <v>0</v>
      </c>
    </row>
    <row r="111" spans="1:8">
      <c r="A111" s="75" t="s">
        <v>12</v>
      </c>
      <c r="B111" s="83">
        <f t="shared" si="75"/>
        <v>0</v>
      </c>
      <c r="C111" s="83">
        <f t="shared" si="75"/>
        <v>0</v>
      </c>
      <c r="D111" s="83">
        <f t="shared" si="75"/>
        <v>0</v>
      </c>
      <c r="E111" s="83">
        <f t="shared" si="75"/>
        <v>0</v>
      </c>
      <c r="F111" s="83">
        <f t="shared" si="75"/>
        <v>0</v>
      </c>
      <c r="G111" s="83">
        <f t="shared" si="75"/>
        <v>0</v>
      </c>
      <c r="H111" s="83">
        <f t="shared" si="75"/>
        <v>0</v>
      </c>
    </row>
    <row r="112" spans="1:8">
      <c r="A112" s="75" t="s">
        <v>31</v>
      </c>
      <c r="B112" s="83">
        <f t="shared" si="75"/>
        <v>0</v>
      </c>
      <c r="C112" s="83">
        <f t="shared" si="75"/>
        <v>0</v>
      </c>
      <c r="D112" s="83">
        <f t="shared" si="75"/>
        <v>0</v>
      </c>
      <c r="E112" s="83">
        <f t="shared" si="75"/>
        <v>0</v>
      </c>
      <c r="F112" s="83">
        <f t="shared" si="75"/>
        <v>0</v>
      </c>
      <c r="G112" s="83">
        <f t="shared" si="75"/>
        <v>0</v>
      </c>
      <c r="H112" s="83">
        <f t="shared" si="75"/>
        <v>0</v>
      </c>
    </row>
    <row r="113" spans="1:8">
      <c r="A113" s="75" t="s">
        <v>52</v>
      </c>
      <c r="B113" s="83">
        <f t="shared" si="75"/>
        <v>0</v>
      </c>
      <c r="C113" s="83">
        <f t="shared" si="75"/>
        <v>0</v>
      </c>
      <c r="D113" s="83">
        <f t="shared" si="75"/>
        <v>0</v>
      </c>
      <c r="E113" s="83">
        <f t="shared" si="75"/>
        <v>0</v>
      </c>
      <c r="F113" s="83">
        <f t="shared" si="75"/>
        <v>0</v>
      </c>
      <c r="G113" s="83">
        <f t="shared" si="75"/>
        <v>0</v>
      </c>
      <c r="H113" s="83">
        <f t="shared" si="75"/>
        <v>0</v>
      </c>
    </row>
    <row r="114" spans="1:8">
      <c r="A114" s="75" t="s">
        <v>12</v>
      </c>
      <c r="B114" s="83">
        <f t="shared" si="75"/>
        <v>0</v>
      </c>
      <c r="C114" s="83">
        <f t="shared" si="75"/>
        <v>0</v>
      </c>
      <c r="D114" s="83">
        <f t="shared" si="75"/>
        <v>0</v>
      </c>
      <c r="E114" s="83">
        <f t="shared" si="75"/>
        <v>0</v>
      </c>
      <c r="F114" s="83">
        <f t="shared" si="75"/>
        <v>0</v>
      </c>
      <c r="G114" s="83">
        <f t="shared" si="75"/>
        <v>0</v>
      </c>
      <c r="H114" s="83">
        <f t="shared" si="75"/>
        <v>0</v>
      </c>
    </row>
  </sheetData>
  <mergeCells count="18">
    <mergeCell ref="AA8:AH8"/>
    <mergeCell ref="R8:Y8"/>
    <mergeCell ref="I4:L4"/>
    <mergeCell ref="C5:H5"/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</mergeCells>
  <phoneticPr fontId="17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BC114"/>
  <sheetViews>
    <sheetView zoomScale="70" zoomScaleNormal="70" workbookViewId="0">
      <selection activeCell="N18" sqref="N18:Q18"/>
    </sheetView>
  </sheetViews>
  <sheetFormatPr defaultRowHeight="13.2"/>
  <cols>
    <col min="1" max="1" width="15" customWidth="1"/>
    <col min="2" max="2" width="8.109375" customWidth="1"/>
    <col min="3" max="3" width="7.5546875" customWidth="1"/>
    <col min="5" max="5" width="6.88671875" customWidth="1"/>
    <col min="6" max="6" width="7.6640625" customWidth="1"/>
    <col min="7" max="7" width="7.5546875" customWidth="1"/>
    <col min="8" max="8" width="7.88671875" customWidth="1"/>
    <col min="9" max="9" width="6.109375" customWidth="1"/>
    <col min="10" max="10" width="15.6640625" customWidth="1"/>
    <col min="11" max="11" width="7.33203125" customWidth="1"/>
    <col min="12" max="12" width="8" customWidth="1"/>
    <col min="14" max="14" width="6.33203125" customWidth="1"/>
    <col min="15" max="15" width="7.88671875" customWidth="1"/>
    <col min="16" max="16" width="7.33203125" customWidth="1"/>
    <col min="17" max="17" width="7.88671875" customWidth="1"/>
    <col min="18" max="18" width="15.5546875" customWidth="1"/>
    <col min="19" max="19" width="6.88671875" customWidth="1"/>
    <col min="20" max="20" width="7.6640625" customWidth="1"/>
    <col min="22" max="22" width="7.33203125" customWidth="1"/>
    <col min="23" max="23" width="8.109375" customWidth="1"/>
    <col min="24" max="24" width="7.88671875" customWidth="1"/>
    <col min="25" max="25" width="7.33203125" customWidth="1"/>
    <col min="26" max="26" width="5.88671875" customWidth="1"/>
    <col min="27" max="27" width="15.88671875" customWidth="1"/>
    <col min="28" max="28" width="7" customWidth="1"/>
    <col min="29" max="29" width="8" customWidth="1"/>
    <col min="31" max="31" width="6.88671875" customWidth="1"/>
    <col min="32" max="32" width="7.5546875" customWidth="1"/>
    <col min="33" max="33" width="7.88671875" customWidth="1"/>
    <col min="34" max="34" width="7.109375" customWidth="1"/>
    <col min="36" max="36" width="15.33203125" customWidth="1"/>
  </cols>
  <sheetData>
    <row r="1" spans="1:55" ht="15" customHeight="1">
      <c r="A1" s="464" t="s">
        <v>60</v>
      </c>
      <c r="B1" s="464"/>
      <c r="C1" s="464"/>
      <c r="D1" s="464"/>
      <c r="E1" s="464"/>
      <c r="F1" s="464"/>
      <c r="G1" s="464"/>
      <c r="H1" s="464"/>
      <c r="J1" s="12"/>
      <c r="K1" s="37"/>
      <c r="L1" s="37"/>
      <c r="M1" s="37"/>
      <c r="N1" s="37"/>
      <c r="O1" s="37"/>
      <c r="P1" s="38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465" t="s">
        <v>67</v>
      </c>
      <c r="B2" s="465"/>
      <c r="C2" s="465"/>
      <c r="D2" s="465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222"/>
      <c r="B3" s="222"/>
      <c r="C3" s="222"/>
      <c r="D3" s="222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466" t="s">
        <v>72</v>
      </c>
      <c r="B4" s="466"/>
      <c r="C4" s="466"/>
      <c r="D4" s="466"/>
      <c r="E4" s="466"/>
      <c r="F4" s="466"/>
      <c r="G4" s="466"/>
      <c r="H4" s="466"/>
      <c r="J4" s="40"/>
      <c r="K4" s="12"/>
      <c r="L4" s="220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55" ht="15" customHeight="1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229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98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98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229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98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98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230" t="s">
        <v>17</v>
      </c>
      <c r="B8" s="230"/>
      <c r="C8" s="230"/>
      <c r="D8" s="230"/>
      <c r="E8" s="230"/>
      <c r="F8" s="230"/>
      <c r="G8" s="230"/>
      <c r="H8" s="230"/>
      <c r="I8" s="229"/>
      <c r="J8" s="230" t="s">
        <v>17</v>
      </c>
      <c r="K8" s="230"/>
      <c r="L8" s="230"/>
      <c r="M8" s="230"/>
      <c r="N8" s="230"/>
      <c r="O8" s="230"/>
      <c r="P8" s="230"/>
      <c r="Q8" s="230"/>
      <c r="R8" s="230" t="s">
        <v>17</v>
      </c>
      <c r="S8" s="230"/>
      <c r="T8" s="230"/>
      <c r="U8" s="230"/>
      <c r="V8" s="230"/>
      <c r="W8" s="230"/>
      <c r="X8" s="230"/>
      <c r="Y8" s="230"/>
      <c r="Z8" s="230"/>
      <c r="AA8" s="230" t="s">
        <v>17</v>
      </c>
      <c r="AB8" s="230"/>
      <c r="AC8" s="230"/>
      <c r="AD8" s="230"/>
      <c r="AE8" s="230"/>
      <c r="AF8" s="230"/>
      <c r="AG8" s="230"/>
      <c r="AH8" s="230"/>
      <c r="AI8" s="230"/>
      <c r="AJ8" s="230" t="s">
        <v>17</v>
      </c>
      <c r="AK8" s="230"/>
      <c r="AL8" s="230"/>
      <c r="AM8" s="230"/>
      <c r="AN8" s="230"/>
      <c r="AO8" s="230"/>
      <c r="AP8" s="230"/>
      <c r="AQ8" s="230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</row>
    <row r="9" spans="1:55" ht="15" customHeight="1">
      <c r="A9" s="7" t="s">
        <v>18</v>
      </c>
      <c r="B9" s="7">
        <f t="shared" ref="B9:H10" si="0">B13+B20</f>
        <v>0</v>
      </c>
      <c r="C9" s="7">
        <f t="shared" si="0"/>
        <v>0</v>
      </c>
      <c r="D9" s="7">
        <f t="shared" si="0"/>
        <v>0</v>
      </c>
      <c r="E9" s="7">
        <f t="shared" si="0"/>
        <v>0</v>
      </c>
      <c r="F9" s="232">
        <f t="shared" si="0"/>
        <v>0</v>
      </c>
      <c r="G9" s="7">
        <f t="shared" si="0"/>
        <v>0</v>
      </c>
      <c r="H9" s="7">
        <f t="shared" si="0"/>
        <v>0</v>
      </c>
      <c r="I9" s="242"/>
      <c r="J9" s="7" t="s">
        <v>18</v>
      </c>
      <c r="K9" s="7">
        <f t="shared" ref="K9:Q10" si="1">K13+K20</f>
        <v>0</v>
      </c>
      <c r="L9" s="7">
        <f t="shared" si="1"/>
        <v>0</v>
      </c>
      <c r="M9" s="7">
        <f t="shared" si="1"/>
        <v>0</v>
      </c>
      <c r="N9" s="7">
        <f t="shared" si="1"/>
        <v>0</v>
      </c>
      <c r="O9" s="7">
        <f t="shared" si="1"/>
        <v>0</v>
      </c>
      <c r="P9" s="7">
        <f t="shared" si="1"/>
        <v>0</v>
      </c>
      <c r="Q9" s="7">
        <f t="shared" si="1"/>
        <v>0</v>
      </c>
      <c r="R9" s="7" t="s">
        <v>18</v>
      </c>
      <c r="S9" s="7">
        <f t="shared" ref="S9:Y10" si="2">S13+S20</f>
        <v>0</v>
      </c>
      <c r="T9" s="7">
        <f t="shared" si="2"/>
        <v>0</v>
      </c>
      <c r="U9" s="7">
        <f t="shared" si="2"/>
        <v>0</v>
      </c>
      <c r="V9" s="7">
        <f t="shared" si="2"/>
        <v>0</v>
      </c>
      <c r="W9" s="7">
        <f t="shared" si="2"/>
        <v>0</v>
      </c>
      <c r="X9" s="7">
        <f t="shared" si="2"/>
        <v>0</v>
      </c>
      <c r="Y9" s="7">
        <f t="shared" si="2"/>
        <v>0</v>
      </c>
      <c r="Z9" s="112"/>
      <c r="AA9" s="7" t="s">
        <v>18</v>
      </c>
      <c r="AB9" s="7">
        <f t="shared" ref="AB9:AH10" si="3">AB13+AB20</f>
        <v>0</v>
      </c>
      <c r="AC9" s="7">
        <f t="shared" si="3"/>
        <v>0</v>
      </c>
      <c r="AD9" s="7">
        <f t="shared" si="3"/>
        <v>0</v>
      </c>
      <c r="AE9" s="7">
        <f t="shared" si="3"/>
        <v>0</v>
      </c>
      <c r="AF9" s="7">
        <f t="shared" si="3"/>
        <v>0</v>
      </c>
      <c r="AG9" s="7">
        <f t="shared" si="3"/>
        <v>0</v>
      </c>
      <c r="AH9" s="7">
        <f t="shared" si="3"/>
        <v>0</v>
      </c>
      <c r="AI9" s="112"/>
      <c r="AJ9" s="7" t="s">
        <v>18</v>
      </c>
      <c r="AK9" s="7">
        <f t="shared" ref="AK9:AQ10" si="4">AK13+AK20</f>
        <v>0</v>
      </c>
      <c r="AL9" s="7">
        <f t="shared" si="4"/>
        <v>0</v>
      </c>
      <c r="AM9" s="232">
        <f t="shared" si="4"/>
        <v>0</v>
      </c>
      <c r="AN9" s="7">
        <f t="shared" si="4"/>
        <v>0</v>
      </c>
      <c r="AO9" s="232">
        <f t="shared" si="4"/>
        <v>0</v>
      </c>
      <c r="AP9" s="7">
        <f t="shared" si="4"/>
        <v>0</v>
      </c>
      <c r="AQ9" s="7">
        <f t="shared" si="4"/>
        <v>0</v>
      </c>
      <c r="AR9" s="225"/>
      <c r="AS9" s="225"/>
      <c r="AT9" s="225"/>
      <c r="AU9" s="225"/>
      <c r="AV9" s="225"/>
      <c r="AW9" s="225"/>
      <c r="AX9" s="225"/>
      <c r="AY9" s="225"/>
      <c r="AZ9" s="225"/>
      <c r="BA9" s="225"/>
      <c r="BB9" s="225"/>
      <c r="BC9" s="225"/>
    </row>
    <row r="10" spans="1:55" ht="15" customHeight="1">
      <c r="A10" s="7" t="s">
        <v>19</v>
      </c>
      <c r="B10" s="219">
        <f>B14+B21</f>
        <v>0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242"/>
      <c r="J10" s="7" t="s">
        <v>19</v>
      </c>
      <c r="K10" s="7">
        <f t="shared" si="1"/>
        <v>0</v>
      </c>
      <c r="L10" s="7">
        <f t="shared" si="1"/>
        <v>0</v>
      </c>
      <c r="M10" s="7">
        <f>M14+M21</f>
        <v>0</v>
      </c>
      <c r="N10" s="7">
        <f t="shared" si="1"/>
        <v>0</v>
      </c>
      <c r="O10" s="7">
        <f t="shared" si="1"/>
        <v>0</v>
      </c>
      <c r="P10" s="7">
        <f t="shared" si="1"/>
        <v>0</v>
      </c>
      <c r="Q10" s="7">
        <f t="shared" si="1"/>
        <v>0</v>
      </c>
      <c r="R10" s="7" t="s">
        <v>19</v>
      </c>
      <c r="S10" s="7">
        <f t="shared" si="2"/>
        <v>0</v>
      </c>
      <c r="T10" s="7">
        <f t="shared" si="2"/>
        <v>0</v>
      </c>
      <c r="U10" s="7">
        <f t="shared" si="2"/>
        <v>0</v>
      </c>
      <c r="V10" s="7">
        <f t="shared" si="2"/>
        <v>0</v>
      </c>
      <c r="W10" s="7">
        <f t="shared" si="2"/>
        <v>0</v>
      </c>
      <c r="X10" s="7">
        <f t="shared" si="2"/>
        <v>0</v>
      </c>
      <c r="Y10" s="7">
        <f t="shared" si="2"/>
        <v>0</v>
      </c>
      <c r="Z10" s="112"/>
      <c r="AA10" s="7" t="s">
        <v>19</v>
      </c>
      <c r="AB10" s="219">
        <f t="shared" si="3"/>
        <v>0</v>
      </c>
      <c r="AC10" s="7">
        <f t="shared" si="3"/>
        <v>0</v>
      </c>
      <c r="AD10" s="7">
        <f t="shared" si="3"/>
        <v>0</v>
      </c>
      <c r="AE10" s="7">
        <f t="shared" si="3"/>
        <v>0</v>
      </c>
      <c r="AF10" s="7">
        <f t="shared" si="3"/>
        <v>0</v>
      </c>
      <c r="AG10" s="7">
        <f t="shared" si="3"/>
        <v>0</v>
      </c>
      <c r="AH10" s="7">
        <f t="shared" si="3"/>
        <v>0</v>
      </c>
      <c r="AI10" s="112"/>
      <c r="AJ10" s="7" t="s">
        <v>19</v>
      </c>
      <c r="AK10" s="7">
        <f t="shared" si="4"/>
        <v>0</v>
      </c>
      <c r="AL10" s="7">
        <f t="shared" si="4"/>
        <v>0</v>
      </c>
      <c r="AM10" s="7">
        <f t="shared" si="4"/>
        <v>0</v>
      </c>
      <c r="AN10" s="7">
        <f t="shared" si="4"/>
        <v>0</v>
      </c>
      <c r="AO10" s="7">
        <f t="shared" si="4"/>
        <v>0</v>
      </c>
      <c r="AP10" s="7">
        <f t="shared" si="4"/>
        <v>0</v>
      </c>
      <c r="AQ10" s="7">
        <f t="shared" si="4"/>
        <v>0</v>
      </c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</row>
    <row r="11" spans="1:55" ht="15" customHeight="1">
      <c r="A11" s="7" t="s">
        <v>20</v>
      </c>
      <c r="B11" s="233" t="e">
        <f t="shared" ref="B11:H11" si="5">B10/B9*100</f>
        <v>#DIV/0!</v>
      </c>
      <c r="C11" s="233" t="e">
        <f t="shared" si="5"/>
        <v>#DIV/0!</v>
      </c>
      <c r="D11" s="233" t="e">
        <f t="shared" si="5"/>
        <v>#DIV/0!</v>
      </c>
      <c r="E11" s="233" t="e">
        <f t="shared" si="5"/>
        <v>#DIV/0!</v>
      </c>
      <c r="F11" s="233" t="e">
        <f t="shared" si="5"/>
        <v>#DIV/0!</v>
      </c>
      <c r="G11" s="233" t="e">
        <f t="shared" si="5"/>
        <v>#DIV/0!</v>
      </c>
      <c r="H11" s="233" t="e">
        <f t="shared" si="5"/>
        <v>#DIV/0!</v>
      </c>
      <c r="I11" s="242"/>
      <c r="J11" s="7" t="s">
        <v>20</v>
      </c>
      <c r="K11" s="233" t="e">
        <f t="shared" ref="K11:Q11" si="6">K10/K9*100</f>
        <v>#DIV/0!</v>
      </c>
      <c r="L11" s="233" t="e">
        <f t="shared" si="6"/>
        <v>#DIV/0!</v>
      </c>
      <c r="M11" s="233" t="e">
        <f t="shared" si="6"/>
        <v>#DIV/0!</v>
      </c>
      <c r="N11" s="233" t="e">
        <f t="shared" si="6"/>
        <v>#DIV/0!</v>
      </c>
      <c r="O11" s="233" t="e">
        <f t="shared" si="6"/>
        <v>#DIV/0!</v>
      </c>
      <c r="P11" s="233" t="e">
        <f t="shared" si="6"/>
        <v>#DIV/0!</v>
      </c>
      <c r="Q11" s="233" t="e">
        <f t="shared" si="6"/>
        <v>#DIV/0!</v>
      </c>
      <c r="R11" s="7" t="s">
        <v>20</v>
      </c>
      <c r="S11" s="233" t="e">
        <f t="shared" ref="S11:Y11" si="7">S10/S9*100</f>
        <v>#DIV/0!</v>
      </c>
      <c r="T11" s="233" t="e">
        <f t="shared" si="7"/>
        <v>#DIV/0!</v>
      </c>
      <c r="U11" s="233" t="e">
        <f t="shared" si="7"/>
        <v>#DIV/0!</v>
      </c>
      <c r="V11" s="233" t="e">
        <f t="shared" si="7"/>
        <v>#DIV/0!</v>
      </c>
      <c r="W11" s="233" t="e">
        <f t="shared" si="7"/>
        <v>#DIV/0!</v>
      </c>
      <c r="X11" s="233" t="e">
        <f t="shared" si="7"/>
        <v>#DIV/0!</v>
      </c>
      <c r="Y11" s="233" t="e">
        <f t="shared" si="7"/>
        <v>#DIV/0!</v>
      </c>
      <c r="Z11" s="235"/>
      <c r="AA11" s="7" t="s">
        <v>20</v>
      </c>
      <c r="AB11" s="233" t="e">
        <f t="shared" ref="AB11:AH11" si="8">AB10/AB9*100</f>
        <v>#DIV/0!</v>
      </c>
      <c r="AC11" s="233" t="e">
        <f t="shared" si="8"/>
        <v>#DIV/0!</v>
      </c>
      <c r="AD11" s="233" t="e">
        <f t="shared" si="8"/>
        <v>#DIV/0!</v>
      </c>
      <c r="AE11" s="233" t="e">
        <f t="shared" si="8"/>
        <v>#DIV/0!</v>
      </c>
      <c r="AF11" s="233" t="e">
        <f t="shared" si="8"/>
        <v>#DIV/0!</v>
      </c>
      <c r="AG11" s="233" t="e">
        <f t="shared" si="8"/>
        <v>#DIV/0!</v>
      </c>
      <c r="AH11" s="233" t="e">
        <f t="shared" si="8"/>
        <v>#DIV/0!</v>
      </c>
      <c r="AI11" s="235"/>
      <c r="AJ11" s="7" t="s">
        <v>20</v>
      </c>
      <c r="AK11" s="233" t="e">
        <f>AK10/AK9*100</f>
        <v>#DIV/0!</v>
      </c>
      <c r="AL11" s="233" t="e">
        <f>AL10/AL9*100</f>
        <v>#DIV/0!</v>
      </c>
      <c r="AM11" s="233" t="e">
        <f>AM10/AM9*100</f>
        <v>#DIV/0!</v>
      </c>
      <c r="AN11" s="233">
        <v>0</v>
      </c>
      <c r="AO11" s="233" t="e">
        <f>AO10/AO9*100</f>
        <v>#DIV/0!</v>
      </c>
      <c r="AP11" s="233" t="e">
        <f>AP10/AP9*100</f>
        <v>#DIV/0!</v>
      </c>
      <c r="AQ11" s="233" t="e">
        <f>AQ10/AQ9*100</f>
        <v>#DIV/0!</v>
      </c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</row>
    <row r="12" spans="1:55" ht="15" customHeight="1">
      <c r="A12" s="236" t="s">
        <v>11</v>
      </c>
      <c r="B12" s="237"/>
      <c r="C12" s="237"/>
      <c r="D12" s="237"/>
      <c r="E12" s="237"/>
      <c r="F12" s="237"/>
      <c r="G12" s="237"/>
      <c r="H12" s="238"/>
      <c r="I12" s="242"/>
      <c r="J12" s="236" t="s">
        <v>11</v>
      </c>
      <c r="K12" s="237"/>
      <c r="L12" s="237"/>
      <c r="M12" s="237"/>
      <c r="N12" s="237"/>
      <c r="O12" s="237"/>
      <c r="P12" s="237"/>
      <c r="Q12" s="238"/>
      <c r="R12" s="236" t="s">
        <v>11</v>
      </c>
      <c r="S12" s="237"/>
      <c r="T12" s="237"/>
      <c r="U12" s="237"/>
      <c r="V12" s="237"/>
      <c r="W12" s="237"/>
      <c r="X12" s="237"/>
      <c r="Y12" s="238"/>
      <c r="Z12" s="239"/>
      <c r="AA12" s="236" t="s">
        <v>11</v>
      </c>
      <c r="AB12" s="237"/>
      <c r="AC12" s="237"/>
      <c r="AD12" s="237"/>
      <c r="AE12" s="237"/>
      <c r="AF12" s="237"/>
      <c r="AG12" s="237"/>
      <c r="AH12" s="238"/>
      <c r="AI12" s="239"/>
      <c r="AJ12" s="236" t="s">
        <v>11</v>
      </c>
      <c r="AK12" s="237"/>
      <c r="AL12" s="237"/>
      <c r="AM12" s="237"/>
      <c r="AN12" s="237"/>
      <c r="AO12" s="237"/>
      <c r="AP12" s="237"/>
      <c r="AQ12" s="238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</row>
    <row r="13" spans="1:55" ht="15" customHeight="1">
      <c r="A13" s="18" t="s">
        <v>18</v>
      </c>
      <c r="B13" s="19">
        <f>K13+S13+AK13</f>
        <v>0</v>
      </c>
      <c r="C13" s="19">
        <f>L13+T13+AL13</f>
        <v>0</v>
      </c>
      <c r="D13" s="19">
        <f>E13+F13+G13+H13</f>
        <v>0</v>
      </c>
      <c r="E13" s="19">
        <f t="shared" ref="E13:H14" si="9">N13+V13+AN13</f>
        <v>0</v>
      </c>
      <c r="F13" s="233">
        <f t="shared" si="9"/>
        <v>0</v>
      </c>
      <c r="G13" s="19">
        <f t="shared" si="9"/>
        <v>0</v>
      </c>
      <c r="H13" s="19">
        <f t="shared" si="9"/>
        <v>0</v>
      </c>
      <c r="I13" s="242"/>
      <c r="J13" s="18" t="s">
        <v>18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8" t="s">
        <v>18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34"/>
      <c r="AA13" s="18" t="s">
        <v>18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234"/>
      <c r="AJ13" s="18" t="s">
        <v>18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</row>
    <row r="14" spans="1:55" ht="15" customHeight="1">
      <c r="A14" s="18" t="s">
        <v>19</v>
      </c>
      <c r="B14" s="19">
        <f>K14+S14+AK14</f>
        <v>0</v>
      </c>
      <c r="C14" s="19">
        <f>L14+T14+AL14</f>
        <v>0</v>
      </c>
      <c r="D14" s="19">
        <f>E14+F14+G14+H14</f>
        <v>0</v>
      </c>
      <c r="E14" s="19">
        <f t="shared" si="9"/>
        <v>0</v>
      </c>
      <c r="F14" s="19">
        <f t="shared" si="9"/>
        <v>0</v>
      </c>
      <c r="G14" s="19">
        <f t="shared" si="9"/>
        <v>0</v>
      </c>
      <c r="H14" s="19">
        <f t="shared" si="9"/>
        <v>0</v>
      </c>
      <c r="I14" s="242"/>
      <c r="J14" s="18" t="s">
        <v>19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8" t="s">
        <v>19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34"/>
      <c r="AA14" s="18" t="s">
        <v>19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234"/>
      <c r="AJ14" s="18" t="s">
        <v>19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</row>
    <row r="15" spans="1:55" ht="15" customHeight="1">
      <c r="A15" s="18" t="s">
        <v>20</v>
      </c>
      <c r="B15" s="233" t="e">
        <f t="shared" ref="B15:H15" si="10">B14/B13*100</f>
        <v>#DIV/0!</v>
      </c>
      <c r="C15" s="233" t="e">
        <f t="shared" si="10"/>
        <v>#DIV/0!</v>
      </c>
      <c r="D15" s="233" t="e">
        <f t="shared" si="10"/>
        <v>#DIV/0!</v>
      </c>
      <c r="E15" s="233" t="e">
        <f t="shared" si="10"/>
        <v>#DIV/0!</v>
      </c>
      <c r="F15" s="233" t="e">
        <f t="shared" si="10"/>
        <v>#DIV/0!</v>
      </c>
      <c r="G15" s="233" t="e">
        <f t="shared" si="10"/>
        <v>#DIV/0!</v>
      </c>
      <c r="H15" s="233" t="e">
        <f t="shared" si="10"/>
        <v>#DIV/0!</v>
      </c>
      <c r="I15" s="242"/>
      <c r="J15" s="18" t="s">
        <v>20</v>
      </c>
      <c r="K15" s="233" t="e">
        <f>K14/K13*100</f>
        <v>#DIV/0!</v>
      </c>
      <c r="L15" s="233" t="e">
        <f>L14/L13*100</f>
        <v>#DIV/0!</v>
      </c>
      <c r="M15" s="233" t="e">
        <f>M14/M13*100</f>
        <v>#DIV/0!</v>
      </c>
      <c r="N15" s="233">
        <v>0</v>
      </c>
      <c r="O15" s="233">
        <v>0</v>
      </c>
      <c r="P15" s="233">
        <v>0</v>
      </c>
      <c r="Q15" s="233">
        <v>0</v>
      </c>
      <c r="R15" s="18" t="s">
        <v>20</v>
      </c>
      <c r="S15" s="233" t="e">
        <f t="shared" ref="S15:Y15" si="11">S14/S13*100</f>
        <v>#DIV/0!</v>
      </c>
      <c r="T15" s="233" t="e">
        <f t="shared" si="11"/>
        <v>#DIV/0!</v>
      </c>
      <c r="U15" s="233" t="e">
        <f t="shared" si="11"/>
        <v>#DIV/0!</v>
      </c>
      <c r="V15" s="233" t="e">
        <f t="shared" si="11"/>
        <v>#DIV/0!</v>
      </c>
      <c r="W15" s="233" t="e">
        <f t="shared" si="11"/>
        <v>#DIV/0!</v>
      </c>
      <c r="X15" s="233" t="e">
        <f t="shared" si="11"/>
        <v>#DIV/0!</v>
      </c>
      <c r="Y15" s="233" t="e">
        <f t="shared" si="11"/>
        <v>#DIV/0!</v>
      </c>
      <c r="Z15" s="235"/>
      <c r="AA15" s="18" t="s">
        <v>20</v>
      </c>
      <c r="AB15" s="233" t="e">
        <f t="shared" ref="AB15:AH15" si="12">AB14/AB13*100</f>
        <v>#DIV/0!</v>
      </c>
      <c r="AC15" s="233" t="e">
        <f t="shared" si="12"/>
        <v>#DIV/0!</v>
      </c>
      <c r="AD15" s="233" t="e">
        <f t="shared" si="12"/>
        <v>#DIV/0!</v>
      </c>
      <c r="AE15" s="233" t="e">
        <f t="shared" si="12"/>
        <v>#DIV/0!</v>
      </c>
      <c r="AF15" s="233" t="e">
        <f t="shared" si="12"/>
        <v>#DIV/0!</v>
      </c>
      <c r="AG15" s="233" t="e">
        <f t="shared" si="12"/>
        <v>#DIV/0!</v>
      </c>
      <c r="AH15" s="233" t="e">
        <f t="shared" si="12"/>
        <v>#DIV/0!</v>
      </c>
      <c r="AI15" s="235"/>
      <c r="AJ15" s="18" t="s">
        <v>20</v>
      </c>
      <c r="AK15" s="233" t="e">
        <f>AK14/AK13*100</f>
        <v>#DIV/0!</v>
      </c>
      <c r="AL15" s="233" t="e">
        <f>AL14/AL13*100</f>
        <v>#DIV/0!</v>
      </c>
      <c r="AM15" s="233" t="e">
        <f>AM14/AM13*100</f>
        <v>#DIV/0!</v>
      </c>
      <c r="AN15" s="233">
        <v>0</v>
      </c>
      <c r="AO15" s="233" t="e">
        <f>AO14/AO13*100</f>
        <v>#DIV/0!</v>
      </c>
      <c r="AP15" s="233" t="e">
        <f>AP14/AP13*100</f>
        <v>#DIV/0!</v>
      </c>
      <c r="AQ15" s="233" t="e">
        <f>AQ14/AQ13*100</f>
        <v>#DIV/0!</v>
      </c>
    </row>
    <row r="16" spans="1:55" ht="15" customHeight="1">
      <c r="A16" s="19" t="s">
        <v>13</v>
      </c>
      <c r="B16" s="19">
        <f t="shared" ref="B16:C18" si="13">K16+S16+AK16</f>
        <v>0</v>
      </c>
      <c r="C16" s="19">
        <f t="shared" si="13"/>
        <v>0</v>
      </c>
      <c r="D16" s="19">
        <f>E16+F16+G16+H16</f>
        <v>0</v>
      </c>
      <c r="E16" s="19">
        <f t="shared" ref="E16:H18" si="14">N16+V16+AN16</f>
        <v>0</v>
      </c>
      <c r="F16" s="19">
        <f t="shared" si="14"/>
        <v>0</v>
      </c>
      <c r="G16" s="19">
        <f t="shared" si="14"/>
        <v>0</v>
      </c>
      <c r="H16" s="19">
        <f t="shared" si="14"/>
        <v>0</v>
      </c>
      <c r="I16" s="242"/>
      <c r="J16" s="19" t="s">
        <v>13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 t="s">
        <v>13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34"/>
      <c r="AA16" s="19" t="s">
        <v>13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234"/>
      <c r="AJ16" s="19" t="s">
        <v>13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</row>
    <row r="17" spans="1:43" ht="15" customHeight="1">
      <c r="A17" s="19" t="s">
        <v>14</v>
      </c>
      <c r="B17" s="19">
        <f t="shared" si="13"/>
        <v>0</v>
      </c>
      <c r="C17" s="19">
        <f t="shared" si="13"/>
        <v>0</v>
      </c>
      <c r="D17" s="19">
        <f>E17+F17+G17+H17</f>
        <v>0</v>
      </c>
      <c r="E17" s="19">
        <f t="shared" si="14"/>
        <v>0</v>
      </c>
      <c r="F17" s="19">
        <f t="shared" si="14"/>
        <v>0</v>
      </c>
      <c r="G17" s="19">
        <f t="shared" si="14"/>
        <v>0</v>
      </c>
      <c r="H17" s="19">
        <f t="shared" si="14"/>
        <v>0</v>
      </c>
      <c r="I17" s="242"/>
      <c r="J17" s="19" t="s">
        <v>14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14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34"/>
      <c r="AA17" s="19" t="s">
        <v>14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234"/>
      <c r="AJ17" s="19" t="s">
        <v>14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</row>
    <row r="18" spans="1:43" ht="15" customHeight="1">
      <c r="A18" s="19" t="s">
        <v>15</v>
      </c>
      <c r="B18" s="19">
        <f t="shared" si="13"/>
        <v>0</v>
      </c>
      <c r="C18" s="19">
        <f t="shared" si="13"/>
        <v>0</v>
      </c>
      <c r="D18" s="19">
        <f>E18+F18+G18+H18</f>
        <v>0</v>
      </c>
      <c r="E18" s="19">
        <f t="shared" si="14"/>
        <v>0</v>
      </c>
      <c r="F18" s="19">
        <f t="shared" si="14"/>
        <v>0</v>
      </c>
      <c r="G18" s="19">
        <f t="shared" si="14"/>
        <v>0</v>
      </c>
      <c r="H18" s="19">
        <f t="shared" si="14"/>
        <v>0</v>
      </c>
      <c r="I18" s="242"/>
      <c r="J18" s="19" t="s">
        <v>15</v>
      </c>
      <c r="K18" s="19"/>
      <c r="L18" s="19"/>
      <c r="M18" s="19">
        <f>N18+O18+P18+Q18</f>
        <v>0</v>
      </c>
      <c r="N18" s="19"/>
      <c r="O18" s="19"/>
      <c r="P18" s="19"/>
      <c r="Q18" s="19"/>
      <c r="R18" s="19" t="s">
        <v>15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34"/>
      <c r="AA18" s="19" t="s">
        <v>15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234"/>
      <c r="AJ18" s="19" t="s">
        <v>15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</row>
    <row r="19" spans="1:43" ht="15" customHeight="1">
      <c r="A19" s="236" t="s">
        <v>16</v>
      </c>
      <c r="B19" s="237"/>
      <c r="C19" s="237"/>
      <c r="D19" s="237"/>
      <c r="E19" s="237"/>
      <c r="F19" s="237"/>
      <c r="G19" s="237"/>
      <c r="H19" s="238"/>
      <c r="I19" s="242"/>
      <c r="J19" s="236" t="s">
        <v>16</v>
      </c>
      <c r="K19" s="237"/>
      <c r="L19" s="237"/>
      <c r="M19" s="237"/>
      <c r="N19" s="237"/>
      <c r="O19" s="237"/>
      <c r="P19" s="237"/>
      <c r="Q19" s="238"/>
      <c r="R19" s="236" t="s">
        <v>16</v>
      </c>
      <c r="S19" s="237"/>
      <c r="T19" s="237"/>
      <c r="U19" s="237"/>
      <c r="V19" s="237"/>
      <c r="W19" s="237"/>
      <c r="X19" s="237"/>
      <c r="Y19" s="238"/>
      <c r="Z19" s="239"/>
      <c r="AA19" s="236" t="s">
        <v>16</v>
      </c>
      <c r="AB19" s="237"/>
      <c r="AC19" s="237"/>
      <c r="AD19" s="237"/>
      <c r="AE19" s="237"/>
      <c r="AF19" s="237"/>
      <c r="AG19" s="237"/>
      <c r="AH19" s="238"/>
      <c r="AI19" s="239"/>
      <c r="AJ19" s="236" t="s">
        <v>16</v>
      </c>
      <c r="AK19" s="237"/>
      <c r="AL19" s="237"/>
      <c r="AM19" s="237"/>
      <c r="AN19" s="237"/>
      <c r="AO19" s="237"/>
      <c r="AP19" s="237"/>
      <c r="AQ19" s="238"/>
    </row>
    <row r="20" spans="1:43" ht="15" customHeight="1">
      <c r="A20" s="18" t="s">
        <v>18</v>
      </c>
      <c r="B20" s="19">
        <f t="shared" ref="B20:H21" si="15">B23+B26+B29+B32+B35+B38</f>
        <v>0</v>
      </c>
      <c r="C20" s="19">
        <f t="shared" si="15"/>
        <v>0</v>
      </c>
      <c r="D20" s="19">
        <f t="shared" si="15"/>
        <v>0</v>
      </c>
      <c r="E20" s="19">
        <f t="shared" si="15"/>
        <v>0</v>
      </c>
      <c r="F20" s="19">
        <f t="shared" si="15"/>
        <v>0</v>
      </c>
      <c r="G20" s="19">
        <f t="shared" si="15"/>
        <v>0</v>
      </c>
      <c r="H20" s="19">
        <f t="shared" si="15"/>
        <v>0</v>
      </c>
      <c r="I20" s="242"/>
      <c r="J20" s="18" t="s">
        <v>18</v>
      </c>
      <c r="K20" s="19">
        <f t="shared" ref="K20:Q21" si="16">K23+K26+K29+K32+K35+K38</f>
        <v>0</v>
      </c>
      <c r="L20" s="19">
        <f t="shared" si="16"/>
        <v>0</v>
      </c>
      <c r="M20" s="19">
        <f t="shared" si="16"/>
        <v>0</v>
      </c>
      <c r="N20" s="19">
        <f t="shared" si="16"/>
        <v>0</v>
      </c>
      <c r="O20" s="19">
        <f t="shared" si="16"/>
        <v>0</v>
      </c>
      <c r="P20" s="19">
        <f t="shared" si="16"/>
        <v>0</v>
      </c>
      <c r="Q20" s="19">
        <f t="shared" si="16"/>
        <v>0</v>
      </c>
      <c r="R20" s="18" t="s">
        <v>18</v>
      </c>
      <c r="S20" s="19">
        <f t="shared" ref="S20:Y21" si="17">S23+S26+S29+S32+S35+S38</f>
        <v>0</v>
      </c>
      <c r="T20" s="19">
        <f t="shared" si="17"/>
        <v>0</v>
      </c>
      <c r="U20" s="19">
        <f t="shared" si="17"/>
        <v>0</v>
      </c>
      <c r="V20" s="19">
        <f t="shared" si="17"/>
        <v>0</v>
      </c>
      <c r="W20" s="19">
        <f t="shared" si="17"/>
        <v>0</v>
      </c>
      <c r="X20" s="19">
        <f t="shared" si="17"/>
        <v>0</v>
      </c>
      <c r="Y20" s="19">
        <f t="shared" si="17"/>
        <v>0</v>
      </c>
      <c r="Z20" s="234"/>
      <c r="AA20" s="18" t="s">
        <v>18</v>
      </c>
      <c r="AB20" s="127">
        <f t="shared" ref="AB20:AH21" si="18">AB23+AB26+AB29+AB32+AB35+AB38</f>
        <v>0</v>
      </c>
      <c r="AC20" s="19">
        <f t="shared" si="18"/>
        <v>0</v>
      </c>
      <c r="AD20" s="19">
        <f t="shared" si="18"/>
        <v>0</v>
      </c>
      <c r="AE20" s="19">
        <f t="shared" si="18"/>
        <v>0</v>
      </c>
      <c r="AF20" s="19">
        <f t="shared" si="18"/>
        <v>0</v>
      </c>
      <c r="AG20" s="19">
        <f t="shared" si="18"/>
        <v>0</v>
      </c>
      <c r="AH20" s="19">
        <f t="shared" si="18"/>
        <v>0</v>
      </c>
      <c r="AI20" s="234"/>
      <c r="AJ20" s="18" t="s">
        <v>18</v>
      </c>
      <c r="AK20" s="19">
        <f t="shared" ref="AK20:AQ21" si="19">AK23+AK26+AK29+AK32+AK35+AK38</f>
        <v>0</v>
      </c>
      <c r="AL20" s="19">
        <f t="shared" si="19"/>
        <v>0</v>
      </c>
      <c r="AM20" s="19">
        <f t="shared" si="19"/>
        <v>0</v>
      </c>
      <c r="AN20" s="19">
        <f t="shared" si="19"/>
        <v>0</v>
      </c>
      <c r="AO20" s="19">
        <f t="shared" si="19"/>
        <v>0</v>
      </c>
      <c r="AP20" s="19">
        <f t="shared" si="19"/>
        <v>0</v>
      </c>
      <c r="AQ20" s="19">
        <f t="shared" si="19"/>
        <v>0</v>
      </c>
    </row>
    <row r="21" spans="1:43" ht="15" customHeight="1">
      <c r="A21" s="18" t="s">
        <v>19</v>
      </c>
      <c r="B21" s="127">
        <f>B24+B27+B30+B33+B36+B39</f>
        <v>0</v>
      </c>
      <c r="C21" s="19">
        <f>C24+C27+C30+C33+C36+C39</f>
        <v>0</v>
      </c>
      <c r="D21" s="19">
        <f t="shared" si="15"/>
        <v>0</v>
      </c>
      <c r="E21" s="19">
        <f t="shared" si="15"/>
        <v>0</v>
      </c>
      <c r="F21" s="19">
        <f t="shared" si="15"/>
        <v>0</v>
      </c>
      <c r="G21" s="19">
        <f t="shared" si="15"/>
        <v>0</v>
      </c>
      <c r="H21" s="19">
        <f t="shared" si="15"/>
        <v>0</v>
      </c>
      <c r="I21" s="242"/>
      <c r="J21" s="18" t="s">
        <v>19</v>
      </c>
      <c r="K21" s="127">
        <f>K24+K27+K30+K33+K36+K39</f>
        <v>0</v>
      </c>
      <c r="L21" s="19">
        <f t="shared" si="16"/>
        <v>0</v>
      </c>
      <c r="M21" s="19">
        <f>M24+M27+M30+M33+M36+M39</f>
        <v>0</v>
      </c>
      <c r="N21" s="19">
        <f t="shared" si="16"/>
        <v>0</v>
      </c>
      <c r="O21" s="19">
        <f t="shared" si="16"/>
        <v>0</v>
      </c>
      <c r="P21" s="19">
        <f t="shared" si="16"/>
        <v>0</v>
      </c>
      <c r="Q21" s="19">
        <f>Q24+Q27+Q30+Q33+Q36+Q39</f>
        <v>0</v>
      </c>
      <c r="R21" s="18" t="s">
        <v>19</v>
      </c>
      <c r="S21" s="127">
        <f>S24+S27+S30+S33+S36+S39</f>
        <v>0</v>
      </c>
      <c r="T21" s="19">
        <f t="shared" si="17"/>
        <v>0</v>
      </c>
      <c r="U21" s="19">
        <f t="shared" si="17"/>
        <v>0</v>
      </c>
      <c r="V21" s="19">
        <f t="shared" si="17"/>
        <v>0</v>
      </c>
      <c r="W21" s="19">
        <f t="shared" si="17"/>
        <v>0</v>
      </c>
      <c r="X21" s="19">
        <f t="shared" si="17"/>
        <v>0</v>
      </c>
      <c r="Y21" s="19">
        <f t="shared" si="17"/>
        <v>0</v>
      </c>
      <c r="Z21" s="234"/>
      <c r="AA21" s="18" t="s">
        <v>19</v>
      </c>
      <c r="AB21" s="127">
        <f>AB24+AB27+AB30+AB33+AB36+AB39</f>
        <v>0</v>
      </c>
      <c r="AC21" s="19">
        <f t="shared" si="18"/>
        <v>0</v>
      </c>
      <c r="AD21" s="19">
        <f t="shared" si="18"/>
        <v>0</v>
      </c>
      <c r="AE21" s="19">
        <f t="shared" si="18"/>
        <v>0</v>
      </c>
      <c r="AF21" s="19">
        <f t="shared" si="18"/>
        <v>0</v>
      </c>
      <c r="AG21" s="19">
        <f t="shared" si="18"/>
        <v>0</v>
      </c>
      <c r="AH21" s="19">
        <f t="shared" si="18"/>
        <v>0</v>
      </c>
      <c r="AI21" s="234"/>
      <c r="AJ21" s="18" t="s">
        <v>19</v>
      </c>
      <c r="AK21" s="19">
        <f>AK24+AK27+AK30+AK33+AK36+AK39</f>
        <v>0</v>
      </c>
      <c r="AL21" s="19">
        <f t="shared" si="19"/>
        <v>0</v>
      </c>
      <c r="AM21" s="19">
        <f t="shared" si="19"/>
        <v>0</v>
      </c>
      <c r="AN21" s="19">
        <f t="shared" si="19"/>
        <v>0</v>
      </c>
      <c r="AO21" s="19">
        <f t="shared" si="19"/>
        <v>0</v>
      </c>
      <c r="AP21" s="19">
        <f t="shared" si="19"/>
        <v>0</v>
      </c>
      <c r="AQ21" s="19">
        <f t="shared" si="19"/>
        <v>0</v>
      </c>
    </row>
    <row r="22" spans="1:43" ht="15" customHeight="1">
      <c r="A22" s="18" t="s">
        <v>20</v>
      </c>
      <c r="B22" s="233" t="e">
        <f t="shared" ref="B22:H22" si="20">B21/B20*100</f>
        <v>#DIV/0!</v>
      </c>
      <c r="C22" s="233" t="e">
        <f t="shared" si="20"/>
        <v>#DIV/0!</v>
      </c>
      <c r="D22" s="233" t="e">
        <f t="shared" si="20"/>
        <v>#DIV/0!</v>
      </c>
      <c r="E22" s="233" t="e">
        <f t="shared" si="20"/>
        <v>#DIV/0!</v>
      </c>
      <c r="F22" s="233" t="e">
        <f t="shared" si="20"/>
        <v>#DIV/0!</v>
      </c>
      <c r="G22" s="233" t="e">
        <f t="shared" si="20"/>
        <v>#DIV/0!</v>
      </c>
      <c r="H22" s="233" t="e">
        <f t="shared" si="20"/>
        <v>#DIV/0!</v>
      </c>
      <c r="I22" s="242"/>
      <c r="J22" s="18" t="s">
        <v>20</v>
      </c>
      <c r="K22" s="233" t="e">
        <f t="shared" ref="K22:Q22" si="21">K21/K20*100</f>
        <v>#DIV/0!</v>
      </c>
      <c r="L22" s="233" t="e">
        <f t="shared" si="21"/>
        <v>#DIV/0!</v>
      </c>
      <c r="M22" s="233" t="e">
        <f t="shared" si="21"/>
        <v>#DIV/0!</v>
      </c>
      <c r="N22" s="233" t="e">
        <f t="shared" si="21"/>
        <v>#DIV/0!</v>
      </c>
      <c r="O22" s="233" t="e">
        <f t="shared" si="21"/>
        <v>#DIV/0!</v>
      </c>
      <c r="P22" s="233" t="e">
        <f t="shared" si="21"/>
        <v>#DIV/0!</v>
      </c>
      <c r="Q22" s="233" t="e">
        <f t="shared" si="21"/>
        <v>#DIV/0!</v>
      </c>
      <c r="R22" s="18" t="s">
        <v>20</v>
      </c>
      <c r="S22" s="233" t="e">
        <f t="shared" ref="S22:Y22" si="22">S21/S20*100</f>
        <v>#DIV/0!</v>
      </c>
      <c r="T22" s="233" t="e">
        <f t="shared" si="22"/>
        <v>#DIV/0!</v>
      </c>
      <c r="U22" s="233" t="e">
        <f t="shared" si="22"/>
        <v>#DIV/0!</v>
      </c>
      <c r="V22" s="233" t="e">
        <f t="shared" si="22"/>
        <v>#DIV/0!</v>
      </c>
      <c r="W22" s="233" t="e">
        <f t="shared" si="22"/>
        <v>#DIV/0!</v>
      </c>
      <c r="X22" s="233" t="e">
        <f t="shared" si="22"/>
        <v>#DIV/0!</v>
      </c>
      <c r="Y22" s="233" t="e">
        <f t="shared" si="22"/>
        <v>#DIV/0!</v>
      </c>
      <c r="Z22" s="235"/>
      <c r="AA22" s="18" t="s">
        <v>20</v>
      </c>
      <c r="AB22" s="233" t="e">
        <f t="shared" ref="AB22:AH22" si="23">AB21/AB20*100</f>
        <v>#DIV/0!</v>
      </c>
      <c r="AC22" s="233" t="e">
        <f t="shared" si="23"/>
        <v>#DIV/0!</v>
      </c>
      <c r="AD22" s="233" t="e">
        <f t="shared" si="23"/>
        <v>#DIV/0!</v>
      </c>
      <c r="AE22" s="233" t="e">
        <f t="shared" si="23"/>
        <v>#DIV/0!</v>
      </c>
      <c r="AF22" s="233" t="e">
        <f t="shared" si="23"/>
        <v>#DIV/0!</v>
      </c>
      <c r="AG22" s="233" t="e">
        <f t="shared" si="23"/>
        <v>#DIV/0!</v>
      </c>
      <c r="AH22" s="233" t="e">
        <f t="shared" si="23"/>
        <v>#DIV/0!</v>
      </c>
      <c r="AI22" s="235"/>
      <c r="AJ22" s="18" t="s">
        <v>20</v>
      </c>
      <c r="AK22" s="233" t="e">
        <f>AK21/AK20*100</f>
        <v>#DIV/0!</v>
      </c>
      <c r="AL22" s="233" t="e">
        <f>AL21/AL20*100</f>
        <v>#DIV/0!</v>
      </c>
      <c r="AM22" s="233" t="e">
        <f>AM21/AM20*100</f>
        <v>#DIV/0!</v>
      </c>
      <c r="AN22" s="233">
        <v>0</v>
      </c>
      <c r="AO22" s="233" t="e">
        <f>AO21/AO20*100</f>
        <v>#DIV/0!</v>
      </c>
      <c r="AP22" s="233" t="e">
        <f>AP21/AP20*100</f>
        <v>#DIV/0!</v>
      </c>
      <c r="AQ22" s="233" t="e">
        <f>AQ21/AQ20*100</f>
        <v>#DIV/0!</v>
      </c>
    </row>
    <row r="23" spans="1:43" ht="15" customHeight="1">
      <c r="A23" s="19" t="s">
        <v>21</v>
      </c>
      <c r="B23" s="127">
        <f>K23+S23+AK23</f>
        <v>0</v>
      </c>
      <c r="C23" s="19">
        <f>L23+T23+AL23</f>
        <v>0</v>
      </c>
      <c r="D23" s="19">
        <f>E23+F23+G23+H23</f>
        <v>0</v>
      </c>
      <c r="E23" s="19">
        <f t="shared" ref="E23:H24" si="24">N23+V23+AN23</f>
        <v>0</v>
      </c>
      <c r="F23" s="19">
        <f t="shared" si="24"/>
        <v>0</v>
      </c>
      <c r="G23" s="19">
        <f t="shared" si="24"/>
        <v>0</v>
      </c>
      <c r="H23" s="19">
        <f t="shared" si="24"/>
        <v>0</v>
      </c>
      <c r="I23" s="242"/>
      <c r="J23" s="19" t="s">
        <v>21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 t="s">
        <v>21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34"/>
      <c r="AA23" s="19" t="s">
        <v>21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234"/>
      <c r="AJ23" s="19" t="s">
        <v>21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</row>
    <row r="24" spans="1:43" ht="15" customHeight="1">
      <c r="A24" s="19" t="s">
        <v>22</v>
      </c>
      <c r="B24" s="19">
        <f>K24+S24+AK24</f>
        <v>0</v>
      </c>
      <c r="C24" s="19">
        <f>L24+T24+AL24</f>
        <v>0</v>
      </c>
      <c r="D24" s="19">
        <f>E24+F24+G24+H24</f>
        <v>0</v>
      </c>
      <c r="E24" s="19">
        <f t="shared" si="24"/>
        <v>0</v>
      </c>
      <c r="F24" s="19">
        <f t="shared" si="24"/>
        <v>0</v>
      </c>
      <c r="G24" s="19">
        <f t="shared" si="24"/>
        <v>0</v>
      </c>
      <c r="H24" s="19">
        <f t="shared" si="24"/>
        <v>0</v>
      </c>
      <c r="I24" s="242"/>
      <c r="J24" s="19" t="s">
        <v>22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22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34"/>
      <c r="AA24" s="19" t="s">
        <v>22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234"/>
      <c r="AJ24" s="19" t="s">
        <v>22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</row>
    <row r="25" spans="1:43" ht="15" customHeight="1">
      <c r="A25" s="19" t="s">
        <v>12</v>
      </c>
      <c r="B25" s="233" t="e">
        <f t="shared" ref="B25:H25" si="25">B24/B23*100</f>
        <v>#DIV/0!</v>
      </c>
      <c r="C25" s="233" t="e">
        <f t="shared" si="25"/>
        <v>#DIV/0!</v>
      </c>
      <c r="D25" s="233" t="e">
        <f t="shared" si="25"/>
        <v>#DIV/0!</v>
      </c>
      <c r="E25" s="233" t="e">
        <f t="shared" si="25"/>
        <v>#DIV/0!</v>
      </c>
      <c r="F25" s="233" t="e">
        <f t="shared" si="25"/>
        <v>#DIV/0!</v>
      </c>
      <c r="G25" s="233" t="e">
        <f t="shared" si="25"/>
        <v>#DIV/0!</v>
      </c>
      <c r="H25" s="233" t="e">
        <f t="shared" si="25"/>
        <v>#DIV/0!</v>
      </c>
      <c r="I25" s="242"/>
      <c r="J25" s="19" t="s">
        <v>12</v>
      </c>
      <c r="K25" s="233" t="e">
        <f t="shared" ref="K25:Q25" si="26">K24/K23*100</f>
        <v>#DIV/0!</v>
      </c>
      <c r="L25" s="233" t="e">
        <f t="shared" si="26"/>
        <v>#DIV/0!</v>
      </c>
      <c r="M25" s="233" t="e">
        <f t="shared" si="26"/>
        <v>#DIV/0!</v>
      </c>
      <c r="N25" s="233" t="e">
        <f t="shared" si="26"/>
        <v>#DIV/0!</v>
      </c>
      <c r="O25" s="233" t="e">
        <f t="shared" si="26"/>
        <v>#DIV/0!</v>
      </c>
      <c r="P25" s="233" t="e">
        <f t="shared" si="26"/>
        <v>#DIV/0!</v>
      </c>
      <c r="Q25" s="233" t="e">
        <f t="shared" si="26"/>
        <v>#DIV/0!</v>
      </c>
      <c r="R25" s="19" t="s">
        <v>12</v>
      </c>
      <c r="S25" s="233" t="e">
        <f>S24/S23*100</f>
        <v>#DIV/0!</v>
      </c>
      <c r="T25" s="233" t="e">
        <f t="shared" ref="T25:Y25" si="27">T24/T23*100</f>
        <v>#DIV/0!</v>
      </c>
      <c r="U25" s="233" t="e">
        <f t="shared" si="27"/>
        <v>#DIV/0!</v>
      </c>
      <c r="V25" s="233" t="e">
        <f t="shared" si="27"/>
        <v>#DIV/0!</v>
      </c>
      <c r="W25" s="233" t="e">
        <f t="shared" si="27"/>
        <v>#DIV/0!</v>
      </c>
      <c r="X25" s="233" t="e">
        <f t="shared" si="27"/>
        <v>#DIV/0!</v>
      </c>
      <c r="Y25" s="233" t="e">
        <f t="shared" si="27"/>
        <v>#DIV/0!</v>
      </c>
      <c r="Z25" s="235"/>
      <c r="AA25" s="19" t="s">
        <v>12</v>
      </c>
      <c r="AB25" s="233" t="e">
        <f t="shared" ref="AB25:AH25" si="28">AB24/AB23*100</f>
        <v>#DIV/0!</v>
      </c>
      <c r="AC25" s="233" t="e">
        <f t="shared" si="28"/>
        <v>#DIV/0!</v>
      </c>
      <c r="AD25" s="233" t="e">
        <f t="shared" si="28"/>
        <v>#DIV/0!</v>
      </c>
      <c r="AE25" s="233" t="e">
        <f t="shared" si="28"/>
        <v>#DIV/0!</v>
      </c>
      <c r="AF25" s="233" t="e">
        <f t="shared" si="28"/>
        <v>#DIV/0!</v>
      </c>
      <c r="AG25" s="233" t="e">
        <f t="shared" si="28"/>
        <v>#DIV/0!</v>
      </c>
      <c r="AH25" s="233" t="e">
        <f t="shared" si="28"/>
        <v>#DIV/0!</v>
      </c>
      <c r="AI25" s="235"/>
      <c r="AJ25" s="19" t="s">
        <v>12</v>
      </c>
      <c r="AK25" s="233" t="e">
        <f>AK24/AK23*100</f>
        <v>#DIV/0!</v>
      </c>
      <c r="AL25" s="233" t="e">
        <f>AL24/AL23*100</f>
        <v>#DIV/0!</v>
      </c>
      <c r="AM25" s="233" t="e">
        <f>AM24/AM23*100</f>
        <v>#DIV/0!</v>
      </c>
      <c r="AN25" s="233">
        <v>0</v>
      </c>
      <c r="AO25" s="233" t="e">
        <f>AO24/AO23*100</f>
        <v>#DIV/0!</v>
      </c>
      <c r="AP25" s="233" t="e">
        <f>AP24/AP23*100</f>
        <v>#DIV/0!</v>
      </c>
      <c r="AQ25" s="233" t="e">
        <f>AQ24/AQ23*100</f>
        <v>#DIV/0!</v>
      </c>
    </row>
    <row r="26" spans="1:43" ht="15" customHeight="1">
      <c r="A26" s="19" t="s">
        <v>23</v>
      </c>
      <c r="B26" s="19">
        <f>K26+S26+AK26</f>
        <v>0</v>
      </c>
      <c r="C26" s="19">
        <f>L26+T26+AL26</f>
        <v>0</v>
      </c>
      <c r="D26" s="19">
        <f>E26+F26+G26+H26</f>
        <v>0</v>
      </c>
      <c r="E26" s="19">
        <f t="shared" ref="E26:H27" si="29">N26+V26+AN26</f>
        <v>0</v>
      </c>
      <c r="F26" s="19">
        <f t="shared" si="29"/>
        <v>0</v>
      </c>
      <c r="G26" s="19">
        <f t="shared" si="29"/>
        <v>0</v>
      </c>
      <c r="H26" s="19">
        <f t="shared" si="29"/>
        <v>0</v>
      </c>
      <c r="I26" s="242"/>
      <c r="J26" s="19" t="s">
        <v>23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23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34"/>
      <c r="AA26" s="19" t="s">
        <v>23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234"/>
      <c r="AJ26" s="19" t="s">
        <v>23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</row>
    <row r="27" spans="1:43" ht="15" customHeight="1">
      <c r="A27" s="19" t="s">
        <v>24</v>
      </c>
      <c r="B27" s="19">
        <f>K27+S27+AK27</f>
        <v>0</v>
      </c>
      <c r="C27" s="19">
        <f>L27+T27+AL27</f>
        <v>0</v>
      </c>
      <c r="D27" s="19">
        <f>E27+F27+G27+H27</f>
        <v>0</v>
      </c>
      <c r="E27" s="19">
        <f t="shared" si="29"/>
        <v>0</v>
      </c>
      <c r="F27" s="19">
        <f t="shared" si="29"/>
        <v>0</v>
      </c>
      <c r="G27" s="19">
        <f t="shared" si="29"/>
        <v>0</v>
      </c>
      <c r="H27" s="19">
        <f t="shared" si="29"/>
        <v>0</v>
      </c>
      <c r="I27" s="242"/>
      <c r="J27" s="19" t="s">
        <v>24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24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34"/>
      <c r="AA27" s="19" t="s">
        <v>24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234"/>
      <c r="AJ27" s="19" t="s">
        <v>24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</row>
    <row r="28" spans="1:43" ht="15" customHeight="1">
      <c r="A28" s="19" t="s">
        <v>12</v>
      </c>
      <c r="B28" s="233" t="e">
        <f t="shared" ref="B28:H28" si="30">B27/B26*100</f>
        <v>#DIV/0!</v>
      </c>
      <c r="C28" s="233" t="e">
        <f t="shared" si="30"/>
        <v>#DIV/0!</v>
      </c>
      <c r="D28" s="233" t="e">
        <f t="shared" si="30"/>
        <v>#DIV/0!</v>
      </c>
      <c r="E28" s="233" t="e">
        <f t="shared" si="30"/>
        <v>#DIV/0!</v>
      </c>
      <c r="F28" s="233" t="e">
        <f t="shared" si="30"/>
        <v>#DIV/0!</v>
      </c>
      <c r="G28" s="233" t="e">
        <f t="shared" si="30"/>
        <v>#DIV/0!</v>
      </c>
      <c r="H28" s="233" t="e">
        <f t="shared" si="30"/>
        <v>#DIV/0!</v>
      </c>
      <c r="I28" s="242"/>
      <c r="J28" s="19" t="s">
        <v>12</v>
      </c>
      <c r="K28" s="233" t="e">
        <f t="shared" ref="K28:Q28" si="31">K27/K26*100</f>
        <v>#DIV/0!</v>
      </c>
      <c r="L28" s="233" t="e">
        <f t="shared" si="31"/>
        <v>#DIV/0!</v>
      </c>
      <c r="M28" s="233" t="e">
        <f t="shared" si="31"/>
        <v>#DIV/0!</v>
      </c>
      <c r="N28" s="233" t="e">
        <f t="shared" si="31"/>
        <v>#DIV/0!</v>
      </c>
      <c r="O28" s="233" t="e">
        <f t="shared" si="31"/>
        <v>#DIV/0!</v>
      </c>
      <c r="P28" s="233" t="e">
        <f t="shared" si="31"/>
        <v>#DIV/0!</v>
      </c>
      <c r="Q28" s="233" t="e">
        <f t="shared" si="31"/>
        <v>#DIV/0!</v>
      </c>
      <c r="R28" s="19" t="s">
        <v>12</v>
      </c>
      <c r="S28" s="233" t="e">
        <f t="shared" ref="S28:X28" si="32">S27/S26*100</f>
        <v>#DIV/0!</v>
      </c>
      <c r="T28" s="233">
        <v>150</v>
      </c>
      <c r="U28" s="233" t="e">
        <f t="shared" si="32"/>
        <v>#DIV/0!</v>
      </c>
      <c r="V28" s="233">
        <v>932</v>
      </c>
      <c r="W28" s="233">
        <v>19</v>
      </c>
      <c r="X28" s="233" t="e">
        <f t="shared" si="32"/>
        <v>#DIV/0!</v>
      </c>
      <c r="Y28" s="233">
        <v>122</v>
      </c>
      <c r="Z28" s="235"/>
      <c r="AA28" s="19" t="s">
        <v>12</v>
      </c>
      <c r="AB28" s="233" t="e">
        <f t="shared" ref="AB28:AH28" si="33">AB27/AB26*100</f>
        <v>#DIV/0!</v>
      </c>
      <c r="AC28" s="233" t="e">
        <f t="shared" si="33"/>
        <v>#DIV/0!</v>
      </c>
      <c r="AD28" s="233" t="e">
        <f t="shared" si="33"/>
        <v>#DIV/0!</v>
      </c>
      <c r="AE28" s="233" t="e">
        <f t="shared" si="33"/>
        <v>#DIV/0!</v>
      </c>
      <c r="AF28" s="233" t="e">
        <f t="shared" si="33"/>
        <v>#DIV/0!</v>
      </c>
      <c r="AG28" s="233" t="e">
        <f t="shared" si="33"/>
        <v>#DIV/0!</v>
      </c>
      <c r="AH28" s="233" t="e">
        <f t="shared" si="33"/>
        <v>#DIV/0!</v>
      </c>
      <c r="AI28" s="235"/>
      <c r="AJ28" s="19" t="s">
        <v>12</v>
      </c>
      <c r="AK28" s="233" t="e">
        <f>AK27/AK26*100</f>
        <v>#DIV/0!</v>
      </c>
      <c r="AL28" s="233" t="e">
        <f>AL27/AL26*100</f>
        <v>#DIV/0!</v>
      </c>
      <c r="AM28" s="233" t="e">
        <f>AM27/AM26*100</f>
        <v>#DIV/0!</v>
      </c>
      <c r="AN28" s="233">
        <v>0</v>
      </c>
      <c r="AO28" s="233" t="e">
        <f>AO27/AO26*100</f>
        <v>#DIV/0!</v>
      </c>
      <c r="AP28" s="233" t="e">
        <f>AP27/AP26*100</f>
        <v>#DIV/0!</v>
      </c>
      <c r="AQ28" s="233" t="e">
        <f>AQ27/AQ26*100</f>
        <v>#DIV/0!</v>
      </c>
    </row>
    <row r="29" spans="1:43" ht="15" customHeight="1">
      <c r="A29" s="19" t="s">
        <v>25</v>
      </c>
      <c r="B29" s="19">
        <f>K29+S29+AK29</f>
        <v>0</v>
      </c>
      <c r="C29" s="19">
        <f>L29+T29+AL29</f>
        <v>0</v>
      </c>
      <c r="D29" s="19">
        <f>E29+F29+G29+H29</f>
        <v>0</v>
      </c>
      <c r="E29" s="19">
        <f t="shared" ref="E29:H30" si="34">N29+V29+AN29</f>
        <v>0</v>
      </c>
      <c r="F29" s="19">
        <f t="shared" si="34"/>
        <v>0</v>
      </c>
      <c r="G29" s="19">
        <f t="shared" si="34"/>
        <v>0</v>
      </c>
      <c r="H29" s="19">
        <f t="shared" si="34"/>
        <v>0</v>
      </c>
      <c r="I29" s="242"/>
      <c r="J29" s="19" t="s">
        <v>25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25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34"/>
      <c r="AA29" s="19" t="s">
        <v>25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234"/>
      <c r="AJ29" s="19" t="s">
        <v>25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</row>
    <row r="30" spans="1:43" ht="15" customHeight="1">
      <c r="A30" s="19" t="s">
        <v>26</v>
      </c>
      <c r="B30" s="19">
        <f>K30+S30+AK30</f>
        <v>0</v>
      </c>
      <c r="C30" s="19">
        <f>L30+T30+AL30</f>
        <v>0</v>
      </c>
      <c r="D30" s="19">
        <f>E30+F30+G30+H30</f>
        <v>0</v>
      </c>
      <c r="E30" s="19">
        <f t="shared" si="34"/>
        <v>0</v>
      </c>
      <c r="F30" s="19">
        <f t="shared" si="34"/>
        <v>0</v>
      </c>
      <c r="G30" s="19">
        <f t="shared" si="34"/>
        <v>0</v>
      </c>
      <c r="H30" s="19">
        <f t="shared" si="34"/>
        <v>0</v>
      </c>
      <c r="I30" s="242"/>
      <c r="J30" s="19" t="s">
        <v>26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26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34"/>
      <c r="AA30" s="19" t="s">
        <v>26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234"/>
      <c r="AJ30" s="19" t="s">
        <v>26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</row>
    <row r="31" spans="1:43" ht="15" customHeight="1">
      <c r="A31" s="19" t="s">
        <v>12</v>
      </c>
      <c r="B31" s="233" t="e">
        <f t="shared" ref="B31:H31" si="35">B30/B29*100</f>
        <v>#DIV/0!</v>
      </c>
      <c r="C31" s="233" t="e">
        <f t="shared" si="35"/>
        <v>#DIV/0!</v>
      </c>
      <c r="D31" s="233" t="e">
        <f t="shared" si="35"/>
        <v>#DIV/0!</v>
      </c>
      <c r="E31" s="233" t="e">
        <f t="shared" si="35"/>
        <v>#DIV/0!</v>
      </c>
      <c r="F31" s="233" t="e">
        <f t="shared" si="35"/>
        <v>#DIV/0!</v>
      </c>
      <c r="G31" s="233" t="e">
        <f t="shared" si="35"/>
        <v>#DIV/0!</v>
      </c>
      <c r="H31" s="233" t="e">
        <f t="shared" si="35"/>
        <v>#DIV/0!</v>
      </c>
      <c r="I31" s="242"/>
      <c r="J31" s="19" t="s">
        <v>12</v>
      </c>
      <c r="K31" s="233" t="e">
        <f t="shared" ref="K31:Q31" si="36">K30/K29*100</f>
        <v>#DIV/0!</v>
      </c>
      <c r="L31" s="233" t="e">
        <f t="shared" si="36"/>
        <v>#DIV/0!</v>
      </c>
      <c r="M31" s="233" t="e">
        <f t="shared" si="36"/>
        <v>#DIV/0!</v>
      </c>
      <c r="N31" s="233" t="e">
        <f t="shared" si="36"/>
        <v>#DIV/0!</v>
      </c>
      <c r="O31" s="233" t="e">
        <f t="shared" si="36"/>
        <v>#DIV/0!</v>
      </c>
      <c r="P31" s="233" t="e">
        <f t="shared" si="36"/>
        <v>#DIV/0!</v>
      </c>
      <c r="Q31" s="233" t="e">
        <f t="shared" si="36"/>
        <v>#DIV/0!</v>
      </c>
      <c r="R31" s="19" t="s">
        <v>12</v>
      </c>
      <c r="S31" s="233" t="e">
        <f t="shared" ref="S31:Y31" si="37">S30/S29*100</f>
        <v>#DIV/0!</v>
      </c>
      <c r="T31" s="233" t="e">
        <f t="shared" si="37"/>
        <v>#DIV/0!</v>
      </c>
      <c r="U31" s="233" t="e">
        <f t="shared" si="37"/>
        <v>#DIV/0!</v>
      </c>
      <c r="V31" s="233" t="e">
        <f t="shared" si="37"/>
        <v>#DIV/0!</v>
      </c>
      <c r="W31" s="233" t="e">
        <f t="shared" si="37"/>
        <v>#DIV/0!</v>
      </c>
      <c r="X31" s="233" t="e">
        <f t="shared" si="37"/>
        <v>#DIV/0!</v>
      </c>
      <c r="Y31" s="233" t="e">
        <f t="shared" si="37"/>
        <v>#DIV/0!</v>
      </c>
      <c r="Z31" s="235"/>
      <c r="AA31" s="19" t="s">
        <v>12</v>
      </c>
      <c r="AB31" s="233" t="e">
        <f t="shared" ref="AB31:AH31" si="38">AB30/AB29*100</f>
        <v>#DIV/0!</v>
      </c>
      <c r="AC31" s="233" t="e">
        <f t="shared" si="38"/>
        <v>#DIV/0!</v>
      </c>
      <c r="AD31" s="233" t="e">
        <f t="shared" si="38"/>
        <v>#DIV/0!</v>
      </c>
      <c r="AE31" s="233" t="e">
        <f t="shared" si="38"/>
        <v>#DIV/0!</v>
      </c>
      <c r="AF31" s="233" t="e">
        <f t="shared" si="38"/>
        <v>#DIV/0!</v>
      </c>
      <c r="AG31" s="233" t="e">
        <f t="shared" si="38"/>
        <v>#DIV/0!</v>
      </c>
      <c r="AH31" s="233" t="e">
        <f t="shared" si="38"/>
        <v>#DIV/0!</v>
      </c>
      <c r="AI31" s="235"/>
      <c r="AJ31" s="19" t="s">
        <v>12</v>
      </c>
      <c r="AK31" s="233" t="e">
        <f>AK30/AK29*100</f>
        <v>#DIV/0!</v>
      </c>
      <c r="AL31" s="233" t="e">
        <f>AL30/AL29*100</f>
        <v>#DIV/0!</v>
      </c>
      <c r="AM31" s="233" t="e">
        <f>AM30/AM29*100</f>
        <v>#DIV/0!</v>
      </c>
      <c r="AN31" s="233">
        <v>0</v>
      </c>
      <c r="AO31" s="233" t="e">
        <f>AO30/AO29*100</f>
        <v>#DIV/0!</v>
      </c>
      <c r="AP31" s="233" t="e">
        <f>AP30/AP29*100</f>
        <v>#DIV/0!</v>
      </c>
      <c r="AQ31" s="233" t="e">
        <f>AQ30/AQ29*100</f>
        <v>#DIV/0!</v>
      </c>
    </row>
    <row r="32" spans="1:43" ht="15" customHeight="1">
      <c r="A32" s="19" t="s">
        <v>27</v>
      </c>
      <c r="B32" s="19">
        <f>K32+S32+AK32</f>
        <v>0</v>
      </c>
      <c r="C32" s="19">
        <f>L32+T32+AL32</f>
        <v>0</v>
      </c>
      <c r="D32" s="19">
        <f>E32+F32+G32+H32</f>
        <v>0</v>
      </c>
      <c r="E32" s="19">
        <f t="shared" ref="E32:H33" si="39">N32+V32+AN32</f>
        <v>0</v>
      </c>
      <c r="F32" s="19">
        <f t="shared" si="39"/>
        <v>0</v>
      </c>
      <c r="G32" s="19">
        <f t="shared" si="39"/>
        <v>0</v>
      </c>
      <c r="H32" s="19">
        <f t="shared" si="39"/>
        <v>0</v>
      </c>
      <c r="I32" s="242"/>
      <c r="J32" s="19" t="s">
        <v>27</v>
      </c>
      <c r="K32" s="19">
        <v>0</v>
      </c>
      <c r="L32" s="19">
        <v>0</v>
      </c>
      <c r="M32" s="19">
        <f>N32+O32+P32+Q32</f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27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234"/>
      <c r="AA32" s="19" t="s">
        <v>27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234"/>
      <c r="AJ32" s="19" t="s">
        <v>27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</row>
    <row r="33" spans="1:43" ht="15" customHeight="1">
      <c r="A33" s="19" t="s">
        <v>28</v>
      </c>
      <c r="B33" s="19">
        <f>K33+S33+AK33</f>
        <v>0</v>
      </c>
      <c r="C33" s="19">
        <f>L33+T33+AL33</f>
        <v>0</v>
      </c>
      <c r="D33" s="19">
        <f>E33+F33+G33+H33</f>
        <v>0</v>
      </c>
      <c r="E33" s="19">
        <f t="shared" si="39"/>
        <v>0</v>
      </c>
      <c r="F33" s="19">
        <f t="shared" si="39"/>
        <v>0</v>
      </c>
      <c r="G33" s="19">
        <f t="shared" si="39"/>
        <v>0</v>
      </c>
      <c r="H33" s="19">
        <f t="shared" si="39"/>
        <v>0</v>
      </c>
      <c r="I33" s="242"/>
      <c r="J33" s="19" t="s">
        <v>28</v>
      </c>
      <c r="K33" s="19"/>
      <c r="L33" s="19"/>
      <c r="M33" s="19">
        <f>N33+O33+P33+Q33</f>
        <v>0</v>
      </c>
      <c r="N33" s="19"/>
      <c r="O33" s="19"/>
      <c r="P33" s="19"/>
      <c r="Q33" s="19"/>
      <c r="R33" s="19" t="s">
        <v>28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234"/>
      <c r="AA33" s="19" t="s">
        <v>28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234"/>
      <c r="AJ33" s="19" t="s">
        <v>28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</row>
    <row r="34" spans="1:43" ht="15" customHeight="1">
      <c r="A34" s="19" t="s">
        <v>12</v>
      </c>
      <c r="B34" s="233" t="e">
        <f t="shared" ref="B34:H34" si="40">B33/B32*100</f>
        <v>#DIV/0!</v>
      </c>
      <c r="C34" s="233" t="e">
        <f t="shared" si="40"/>
        <v>#DIV/0!</v>
      </c>
      <c r="D34" s="233" t="e">
        <f t="shared" si="40"/>
        <v>#DIV/0!</v>
      </c>
      <c r="E34" s="233" t="e">
        <f t="shared" si="40"/>
        <v>#DIV/0!</v>
      </c>
      <c r="F34" s="233" t="e">
        <f t="shared" si="40"/>
        <v>#DIV/0!</v>
      </c>
      <c r="G34" s="233" t="e">
        <f t="shared" si="40"/>
        <v>#DIV/0!</v>
      </c>
      <c r="H34" s="233" t="e">
        <f t="shared" si="40"/>
        <v>#DIV/0!</v>
      </c>
      <c r="I34" s="242"/>
      <c r="J34" s="19" t="s">
        <v>12</v>
      </c>
      <c r="K34" s="233">
        <v>0</v>
      </c>
      <c r="L34" s="233">
        <v>0</v>
      </c>
      <c r="M34" s="233">
        <v>0</v>
      </c>
      <c r="N34" s="233">
        <v>0</v>
      </c>
      <c r="O34" s="233">
        <v>0</v>
      </c>
      <c r="P34" s="233">
        <v>0</v>
      </c>
      <c r="Q34" s="233">
        <v>0</v>
      </c>
      <c r="R34" s="19" t="s">
        <v>12</v>
      </c>
      <c r="S34" s="233" t="e">
        <f t="shared" ref="S34:Y34" si="41">S33/S32*100</f>
        <v>#DIV/0!</v>
      </c>
      <c r="T34" s="233" t="e">
        <f t="shared" si="41"/>
        <v>#DIV/0!</v>
      </c>
      <c r="U34" s="233" t="e">
        <f t="shared" si="41"/>
        <v>#DIV/0!</v>
      </c>
      <c r="V34" s="233" t="e">
        <f t="shared" si="41"/>
        <v>#DIV/0!</v>
      </c>
      <c r="W34" s="233" t="e">
        <f t="shared" si="41"/>
        <v>#DIV/0!</v>
      </c>
      <c r="X34" s="233" t="e">
        <f t="shared" si="41"/>
        <v>#DIV/0!</v>
      </c>
      <c r="Y34" s="233" t="e">
        <f t="shared" si="41"/>
        <v>#DIV/0!</v>
      </c>
      <c r="Z34" s="235"/>
      <c r="AA34" s="19" t="s">
        <v>12</v>
      </c>
      <c r="AB34" s="233" t="e">
        <f t="shared" ref="AB34:AH34" si="42">AB33/AB32*100</f>
        <v>#DIV/0!</v>
      </c>
      <c r="AC34" s="233" t="e">
        <f t="shared" si="42"/>
        <v>#DIV/0!</v>
      </c>
      <c r="AD34" s="233" t="e">
        <f t="shared" si="42"/>
        <v>#DIV/0!</v>
      </c>
      <c r="AE34" s="233" t="e">
        <f t="shared" si="42"/>
        <v>#DIV/0!</v>
      </c>
      <c r="AF34" s="233" t="e">
        <f t="shared" si="42"/>
        <v>#DIV/0!</v>
      </c>
      <c r="AG34" s="233" t="e">
        <f t="shared" si="42"/>
        <v>#DIV/0!</v>
      </c>
      <c r="AH34" s="233" t="e">
        <f t="shared" si="42"/>
        <v>#DIV/0!</v>
      </c>
      <c r="AI34" s="235"/>
      <c r="AJ34" s="19" t="s">
        <v>12</v>
      </c>
      <c r="AK34" s="233">
        <v>0</v>
      </c>
      <c r="AL34" s="233">
        <v>0</v>
      </c>
      <c r="AM34" s="233">
        <v>0</v>
      </c>
      <c r="AN34" s="233">
        <v>0</v>
      </c>
      <c r="AO34" s="233">
        <v>0</v>
      </c>
      <c r="AP34" s="233">
        <v>0</v>
      </c>
      <c r="AQ34" s="233">
        <v>0</v>
      </c>
    </row>
    <row r="35" spans="1:43" ht="15" customHeight="1">
      <c r="A35" s="19" t="s">
        <v>29</v>
      </c>
      <c r="B35" s="19">
        <f>K35+S35+AK35</f>
        <v>0</v>
      </c>
      <c r="C35" s="19">
        <f>L35+T35+AL35</f>
        <v>0</v>
      </c>
      <c r="D35" s="19">
        <f>E35+F35+G35+H35</f>
        <v>0</v>
      </c>
      <c r="E35" s="19">
        <f t="shared" ref="E35:H36" si="43">N35+V35+AN35</f>
        <v>0</v>
      </c>
      <c r="F35" s="19">
        <f t="shared" si="43"/>
        <v>0</v>
      </c>
      <c r="G35" s="19">
        <f t="shared" si="43"/>
        <v>0</v>
      </c>
      <c r="H35" s="19">
        <f t="shared" si="43"/>
        <v>0</v>
      </c>
      <c r="I35" s="242"/>
      <c r="J35" s="19" t="s">
        <v>29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29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234"/>
      <c r="AA35" s="19" t="s">
        <v>29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234"/>
      <c r="AJ35" s="19" t="s">
        <v>29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</row>
    <row r="36" spans="1:43" ht="15" customHeight="1">
      <c r="A36" s="19" t="s">
        <v>30</v>
      </c>
      <c r="B36" s="19">
        <f>K36+S36+AK36</f>
        <v>0</v>
      </c>
      <c r="C36" s="19">
        <f>L36+T36+AL36</f>
        <v>0</v>
      </c>
      <c r="D36" s="19">
        <f>E36+F36+G36+H36</f>
        <v>0</v>
      </c>
      <c r="E36" s="19">
        <f t="shared" si="43"/>
        <v>0</v>
      </c>
      <c r="F36" s="19">
        <f t="shared" si="43"/>
        <v>0</v>
      </c>
      <c r="G36" s="19">
        <f t="shared" si="43"/>
        <v>0</v>
      </c>
      <c r="H36" s="19">
        <f t="shared" si="43"/>
        <v>0</v>
      </c>
      <c r="I36" s="242"/>
      <c r="J36" s="19" t="s">
        <v>30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30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234"/>
      <c r="AA36" s="19" t="s">
        <v>30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234"/>
      <c r="AJ36" s="19" t="s">
        <v>30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</row>
    <row r="37" spans="1:43" ht="15" customHeight="1">
      <c r="A37" s="19" t="s">
        <v>12</v>
      </c>
      <c r="B37" s="233" t="e">
        <f t="shared" ref="B37:H37" si="44">B36/B35*100</f>
        <v>#DIV/0!</v>
      </c>
      <c r="C37" s="233" t="e">
        <f t="shared" si="44"/>
        <v>#DIV/0!</v>
      </c>
      <c r="D37" s="233" t="e">
        <f t="shared" si="44"/>
        <v>#DIV/0!</v>
      </c>
      <c r="E37" s="233" t="e">
        <f t="shared" si="44"/>
        <v>#DIV/0!</v>
      </c>
      <c r="F37" s="233" t="e">
        <f t="shared" si="44"/>
        <v>#DIV/0!</v>
      </c>
      <c r="G37" s="233" t="e">
        <f t="shared" si="44"/>
        <v>#DIV/0!</v>
      </c>
      <c r="H37" s="233" t="e">
        <f t="shared" si="44"/>
        <v>#DIV/0!</v>
      </c>
      <c r="I37" s="242"/>
      <c r="J37" s="19" t="s">
        <v>12</v>
      </c>
      <c r="K37" s="233">
        <v>0</v>
      </c>
      <c r="L37" s="233">
        <v>0</v>
      </c>
      <c r="M37" s="233">
        <v>0</v>
      </c>
      <c r="N37" s="233">
        <v>0</v>
      </c>
      <c r="O37" s="233">
        <v>0</v>
      </c>
      <c r="P37" s="233">
        <v>0</v>
      </c>
      <c r="Q37" s="233">
        <v>0</v>
      </c>
      <c r="R37" s="19" t="s">
        <v>12</v>
      </c>
      <c r="S37" s="233" t="e">
        <f t="shared" ref="S37:Y37" si="45">S36/S35*100</f>
        <v>#DIV/0!</v>
      </c>
      <c r="T37" s="233" t="e">
        <f t="shared" si="45"/>
        <v>#DIV/0!</v>
      </c>
      <c r="U37" s="233" t="e">
        <f t="shared" si="45"/>
        <v>#DIV/0!</v>
      </c>
      <c r="V37" s="233" t="e">
        <f t="shared" si="45"/>
        <v>#DIV/0!</v>
      </c>
      <c r="W37" s="233" t="e">
        <f t="shared" si="45"/>
        <v>#DIV/0!</v>
      </c>
      <c r="X37" s="233" t="e">
        <f t="shared" si="45"/>
        <v>#DIV/0!</v>
      </c>
      <c r="Y37" s="233" t="e">
        <f t="shared" si="45"/>
        <v>#DIV/0!</v>
      </c>
      <c r="Z37" s="235"/>
      <c r="AA37" s="19" t="s">
        <v>12</v>
      </c>
      <c r="AB37" s="233" t="e">
        <f t="shared" ref="AB37:AH37" si="46">AB36/AB35*100</f>
        <v>#DIV/0!</v>
      </c>
      <c r="AC37" s="233" t="e">
        <f t="shared" si="46"/>
        <v>#DIV/0!</v>
      </c>
      <c r="AD37" s="233" t="e">
        <f t="shared" si="46"/>
        <v>#DIV/0!</v>
      </c>
      <c r="AE37" s="233" t="e">
        <f t="shared" si="46"/>
        <v>#DIV/0!</v>
      </c>
      <c r="AF37" s="233" t="e">
        <f t="shared" si="46"/>
        <v>#DIV/0!</v>
      </c>
      <c r="AG37" s="233" t="e">
        <f t="shared" si="46"/>
        <v>#DIV/0!</v>
      </c>
      <c r="AH37" s="233" t="e">
        <f t="shared" si="46"/>
        <v>#DIV/0!</v>
      </c>
      <c r="AI37" s="235"/>
      <c r="AJ37" s="19" t="s">
        <v>12</v>
      </c>
      <c r="AK37" s="233">
        <v>0</v>
      </c>
      <c r="AL37" s="233">
        <v>0</v>
      </c>
      <c r="AM37" s="233">
        <v>0</v>
      </c>
      <c r="AN37" s="233">
        <v>0</v>
      </c>
      <c r="AO37" s="233">
        <v>0</v>
      </c>
      <c r="AP37" s="233">
        <v>0</v>
      </c>
      <c r="AQ37" s="233">
        <v>0</v>
      </c>
    </row>
    <row r="38" spans="1:43" ht="15" customHeight="1">
      <c r="A38" s="19" t="s">
        <v>31</v>
      </c>
      <c r="B38" s="19">
        <f>K38+S38+AK38</f>
        <v>0</v>
      </c>
      <c r="C38" s="19">
        <f>L38+T38+AL38</f>
        <v>0</v>
      </c>
      <c r="D38" s="19">
        <f>E38+F38+G38+H38</f>
        <v>0</v>
      </c>
      <c r="E38" s="19">
        <f t="shared" ref="E38:H39" si="47">N38+V38+AN38</f>
        <v>0</v>
      </c>
      <c r="F38" s="19">
        <f t="shared" si="47"/>
        <v>0</v>
      </c>
      <c r="G38" s="19">
        <f t="shared" si="47"/>
        <v>0</v>
      </c>
      <c r="H38" s="19">
        <f t="shared" si="47"/>
        <v>0</v>
      </c>
      <c r="I38" s="242"/>
      <c r="J38" s="19" t="s">
        <v>31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 t="s">
        <v>31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234"/>
      <c r="AA38" s="19" t="s">
        <v>31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234"/>
      <c r="AJ38" s="19" t="s">
        <v>31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</row>
    <row r="39" spans="1:43" ht="15" customHeight="1">
      <c r="A39" s="19" t="s">
        <v>32</v>
      </c>
      <c r="B39" s="127">
        <f>K39+S39+AK39</f>
        <v>0</v>
      </c>
      <c r="C39" s="19">
        <f>L39+T39+AL39</f>
        <v>0</v>
      </c>
      <c r="D39" s="19">
        <f>E39+F39+G39+H39</f>
        <v>0</v>
      </c>
      <c r="E39" s="19">
        <f t="shared" si="47"/>
        <v>0</v>
      </c>
      <c r="F39" s="19">
        <f t="shared" si="47"/>
        <v>0</v>
      </c>
      <c r="G39" s="19">
        <f t="shared" si="47"/>
        <v>0</v>
      </c>
      <c r="H39" s="19">
        <f t="shared" si="47"/>
        <v>0</v>
      </c>
      <c r="I39" s="242"/>
      <c r="J39" s="19" t="s">
        <v>32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32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234"/>
      <c r="AA39" s="19" t="s">
        <v>32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234"/>
      <c r="AJ39" s="19" t="s">
        <v>32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</row>
    <row r="40" spans="1:43" ht="15" customHeight="1">
      <c r="A40" s="6" t="s">
        <v>12</v>
      </c>
      <c r="B40" s="26" t="e">
        <f t="shared" ref="B40:H40" si="48">B39/B38*100</f>
        <v>#DIV/0!</v>
      </c>
      <c r="C40" s="26" t="e">
        <f t="shared" si="48"/>
        <v>#DIV/0!</v>
      </c>
      <c r="D40" s="26" t="e">
        <f t="shared" si="48"/>
        <v>#DIV/0!</v>
      </c>
      <c r="E40" s="26" t="e">
        <f t="shared" si="48"/>
        <v>#DIV/0!</v>
      </c>
      <c r="F40" s="26" t="e">
        <f t="shared" si="48"/>
        <v>#DIV/0!</v>
      </c>
      <c r="G40" s="26" t="e">
        <f t="shared" si="48"/>
        <v>#DIV/0!</v>
      </c>
      <c r="H40" s="26" t="e">
        <f t="shared" si="48"/>
        <v>#DIV/0!</v>
      </c>
      <c r="I40" s="243"/>
      <c r="J40" s="6" t="s">
        <v>12</v>
      </c>
      <c r="K40" s="26" t="e">
        <f t="shared" ref="K40:Q40" si="49">K39/K38*100</f>
        <v>#DIV/0!</v>
      </c>
      <c r="L40" s="26" t="e">
        <f t="shared" si="49"/>
        <v>#DIV/0!</v>
      </c>
      <c r="M40" s="26" t="e">
        <f t="shared" si="49"/>
        <v>#DIV/0!</v>
      </c>
      <c r="N40" s="26" t="e">
        <f t="shared" si="49"/>
        <v>#DIV/0!</v>
      </c>
      <c r="O40" s="26" t="e">
        <f t="shared" si="49"/>
        <v>#DIV/0!</v>
      </c>
      <c r="P40" s="26" t="e">
        <f t="shared" si="49"/>
        <v>#DIV/0!</v>
      </c>
      <c r="Q40" s="26" t="e">
        <f t="shared" si="49"/>
        <v>#DIV/0!</v>
      </c>
      <c r="R40" s="6" t="s">
        <v>12</v>
      </c>
      <c r="S40" s="26" t="e">
        <f t="shared" ref="S40:Y40" si="50">S39/S38*100</f>
        <v>#DIV/0!</v>
      </c>
      <c r="T40" s="26" t="e">
        <f t="shared" si="50"/>
        <v>#DIV/0!</v>
      </c>
      <c r="U40" s="26" t="e">
        <f t="shared" si="50"/>
        <v>#DIV/0!</v>
      </c>
      <c r="V40" s="26" t="e">
        <f t="shared" si="50"/>
        <v>#DIV/0!</v>
      </c>
      <c r="W40" s="26" t="e">
        <f t="shared" si="50"/>
        <v>#DIV/0!</v>
      </c>
      <c r="X40" s="26" t="e">
        <f t="shared" si="50"/>
        <v>#DIV/0!</v>
      </c>
      <c r="Y40" s="26" t="e">
        <f t="shared" si="50"/>
        <v>#DIV/0!</v>
      </c>
      <c r="Z40" s="113"/>
      <c r="AA40" s="6" t="s">
        <v>12</v>
      </c>
      <c r="AB40" s="26" t="e">
        <f t="shared" ref="AB40:AH40" si="51">AB39/AB38*100</f>
        <v>#DIV/0!</v>
      </c>
      <c r="AC40" s="26" t="e">
        <f t="shared" si="51"/>
        <v>#DIV/0!</v>
      </c>
      <c r="AD40" s="26" t="e">
        <f t="shared" si="51"/>
        <v>#DIV/0!</v>
      </c>
      <c r="AE40" s="26" t="e">
        <f t="shared" si="51"/>
        <v>#DIV/0!</v>
      </c>
      <c r="AF40" s="26" t="e">
        <f t="shared" si="51"/>
        <v>#DIV/0!</v>
      </c>
      <c r="AG40" s="26" t="e">
        <f t="shared" si="51"/>
        <v>#DIV/0!</v>
      </c>
      <c r="AH40" s="26" t="e">
        <f t="shared" si="51"/>
        <v>#DIV/0!</v>
      </c>
      <c r="AI40" s="113"/>
      <c r="AJ40" s="6" t="s">
        <v>12</v>
      </c>
      <c r="AK40" s="26" t="e">
        <f>AK39/AK38*100</f>
        <v>#DIV/0!</v>
      </c>
      <c r="AL40" s="26" t="e">
        <f>AL39/AL38*100</f>
        <v>#DIV/0!</v>
      </c>
      <c r="AM40" s="26" t="e">
        <f>AM39/AM38*100</f>
        <v>#DIV/0!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 t="e">
        <f>AQ39/AQ38*100</f>
        <v>#DIV/0!</v>
      </c>
    </row>
    <row r="41" spans="1:43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229"/>
      <c r="AJ41" s="229"/>
      <c r="AK41" s="229"/>
      <c r="AL41" s="229"/>
      <c r="AM41" s="229"/>
      <c r="AN41" s="229"/>
      <c r="AO41" s="229"/>
      <c r="AP41" s="229"/>
      <c r="AQ41" s="229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52">K9+S9+AK9</f>
        <v>0</v>
      </c>
      <c r="C46" s="83">
        <f t="shared" si="52"/>
        <v>0</v>
      </c>
      <c r="D46" s="83">
        <f t="shared" si="52"/>
        <v>0</v>
      </c>
      <c r="E46" s="83">
        <f t="shared" si="52"/>
        <v>0</v>
      </c>
      <c r="F46" s="83">
        <f t="shared" si="52"/>
        <v>0</v>
      </c>
      <c r="G46" s="83">
        <f t="shared" si="52"/>
        <v>0</v>
      </c>
      <c r="H46" s="83">
        <f t="shared" si="52"/>
        <v>0</v>
      </c>
    </row>
    <row r="47" spans="1:43">
      <c r="A47" s="84" t="s">
        <v>50</v>
      </c>
      <c r="B47" s="83">
        <f t="shared" si="52"/>
        <v>0</v>
      </c>
      <c r="C47" s="83">
        <f t="shared" si="52"/>
        <v>0</v>
      </c>
      <c r="D47" s="83">
        <f t="shared" si="52"/>
        <v>0</v>
      </c>
      <c r="E47" s="83">
        <f t="shared" si="52"/>
        <v>0</v>
      </c>
      <c r="F47" s="83">
        <f t="shared" si="52"/>
        <v>0</v>
      </c>
      <c r="G47" s="83">
        <f t="shared" si="52"/>
        <v>0</v>
      </c>
      <c r="H47" s="83">
        <f t="shared" si="52"/>
        <v>0</v>
      </c>
    </row>
    <row r="48" spans="1:43">
      <c r="A48" s="85" t="s">
        <v>44</v>
      </c>
      <c r="B48" s="86" t="e">
        <f>B47/B46*100</f>
        <v>#DIV/0!</v>
      </c>
      <c r="C48" s="86" t="e">
        <f t="shared" ref="C48:H48" si="53">C47/C46*100</f>
        <v>#DIV/0!</v>
      </c>
      <c r="D48" s="86" t="e">
        <f t="shared" si="53"/>
        <v>#DIV/0!</v>
      </c>
      <c r="E48" s="86" t="e">
        <f t="shared" si="53"/>
        <v>#DIV/0!</v>
      </c>
      <c r="F48" s="86" t="e">
        <f t="shared" si="53"/>
        <v>#DIV/0!</v>
      </c>
      <c r="G48" s="86" t="e">
        <f t="shared" si="53"/>
        <v>#DIV/0!</v>
      </c>
      <c r="H48" s="86" t="e">
        <f t="shared" si="53"/>
        <v>#DIV/0!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4">K13+S13+AK13</f>
        <v>0</v>
      </c>
      <c r="C50" s="90">
        <f t="shared" si="54"/>
        <v>0</v>
      </c>
      <c r="D50" s="90">
        <f t="shared" si="54"/>
        <v>0</v>
      </c>
      <c r="E50" s="90">
        <f t="shared" si="54"/>
        <v>0</v>
      </c>
      <c r="F50" s="90">
        <f t="shared" si="54"/>
        <v>0</v>
      </c>
      <c r="G50" s="90">
        <f t="shared" si="54"/>
        <v>0</v>
      </c>
      <c r="H50" s="90">
        <f t="shared" si="54"/>
        <v>0</v>
      </c>
    </row>
    <row r="51" spans="1:8">
      <c r="A51" s="75" t="s">
        <v>50</v>
      </c>
      <c r="B51" s="90">
        <f t="shared" si="54"/>
        <v>0</v>
      </c>
      <c r="C51" s="90">
        <f t="shared" si="54"/>
        <v>0</v>
      </c>
      <c r="D51" s="90">
        <f t="shared" si="54"/>
        <v>0</v>
      </c>
      <c r="E51" s="90">
        <f t="shared" si="54"/>
        <v>0</v>
      </c>
      <c r="F51" s="90">
        <f t="shared" si="54"/>
        <v>0</v>
      </c>
      <c r="G51" s="90">
        <f t="shared" si="54"/>
        <v>0</v>
      </c>
      <c r="H51" s="90">
        <f t="shared" si="54"/>
        <v>0</v>
      </c>
    </row>
    <row r="52" spans="1:8">
      <c r="A52" s="75" t="s">
        <v>44</v>
      </c>
      <c r="B52" s="91" t="e">
        <f t="shared" ref="B52:H52" si="55">B51/B50*100</f>
        <v>#DIV/0!</v>
      </c>
      <c r="C52" s="91" t="e">
        <f t="shared" si="55"/>
        <v>#DIV/0!</v>
      </c>
      <c r="D52" s="91" t="e">
        <f t="shared" si="55"/>
        <v>#DIV/0!</v>
      </c>
      <c r="E52" s="91" t="e">
        <f t="shared" si="55"/>
        <v>#DIV/0!</v>
      </c>
      <c r="F52" s="91" t="e">
        <f t="shared" si="55"/>
        <v>#DIV/0!</v>
      </c>
      <c r="G52" s="91" t="e">
        <f t="shared" si="55"/>
        <v>#DIV/0!</v>
      </c>
      <c r="H52" s="91" t="e">
        <f t="shared" si="55"/>
        <v>#DIV/0!</v>
      </c>
    </row>
    <row r="53" spans="1:8">
      <c r="A53" s="75" t="s">
        <v>13</v>
      </c>
      <c r="B53" s="90">
        <f t="shared" ref="B53:H55" si="56">K16+S16+AK16</f>
        <v>0</v>
      </c>
      <c r="C53" s="90">
        <f t="shared" si="56"/>
        <v>0</v>
      </c>
      <c r="D53" s="90">
        <f t="shared" si="56"/>
        <v>0</v>
      </c>
      <c r="E53" s="90">
        <f t="shared" si="56"/>
        <v>0</v>
      </c>
      <c r="F53" s="90">
        <f t="shared" si="56"/>
        <v>0</v>
      </c>
      <c r="G53" s="90">
        <f t="shared" si="56"/>
        <v>0</v>
      </c>
      <c r="H53" s="90">
        <f t="shared" si="56"/>
        <v>0</v>
      </c>
    </row>
    <row r="54" spans="1:8">
      <c r="A54" s="92" t="s">
        <v>14</v>
      </c>
      <c r="B54" s="90">
        <f t="shared" si="56"/>
        <v>0</v>
      </c>
      <c r="C54" s="90">
        <f t="shared" si="56"/>
        <v>0</v>
      </c>
      <c r="D54" s="90">
        <f t="shared" si="56"/>
        <v>0</v>
      </c>
      <c r="E54" s="90">
        <f t="shared" si="56"/>
        <v>0</v>
      </c>
      <c r="F54" s="90">
        <f t="shared" si="56"/>
        <v>0</v>
      </c>
      <c r="G54" s="90">
        <f t="shared" si="56"/>
        <v>0</v>
      </c>
      <c r="H54" s="90">
        <f t="shared" si="56"/>
        <v>0</v>
      </c>
    </row>
    <row r="55" spans="1:8">
      <c r="A55" s="75" t="s">
        <v>15</v>
      </c>
      <c r="B55" s="90">
        <f t="shared" si="56"/>
        <v>0</v>
      </c>
      <c r="C55" s="90">
        <f t="shared" si="56"/>
        <v>0</v>
      </c>
      <c r="D55" s="90">
        <f t="shared" si="56"/>
        <v>0</v>
      </c>
      <c r="E55" s="90">
        <f t="shared" si="56"/>
        <v>0</v>
      </c>
      <c r="F55" s="90">
        <f t="shared" si="56"/>
        <v>0</v>
      </c>
      <c r="G55" s="90">
        <f t="shared" si="56"/>
        <v>0</v>
      </c>
      <c r="H55" s="90">
        <f t="shared" si="56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7">K20+S20+AK20</f>
        <v>0</v>
      </c>
      <c r="C57" s="90">
        <f t="shared" si="57"/>
        <v>0</v>
      </c>
      <c r="D57" s="90">
        <f t="shared" si="57"/>
        <v>0</v>
      </c>
      <c r="E57" s="90">
        <f t="shared" si="57"/>
        <v>0</v>
      </c>
      <c r="F57" s="90">
        <f t="shared" si="57"/>
        <v>0</v>
      </c>
      <c r="G57" s="90">
        <f t="shared" si="57"/>
        <v>0</v>
      </c>
      <c r="H57" s="90">
        <f t="shared" si="57"/>
        <v>0</v>
      </c>
    </row>
    <row r="58" spans="1:8">
      <c r="A58" s="92" t="s">
        <v>50</v>
      </c>
      <c r="B58" s="90">
        <f t="shared" si="57"/>
        <v>0</v>
      </c>
      <c r="C58" s="90">
        <f t="shared" si="57"/>
        <v>0</v>
      </c>
      <c r="D58" s="90">
        <f t="shared" si="57"/>
        <v>0</v>
      </c>
      <c r="E58" s="90">
        <f t="shared" si="57"/>
        <v>0</v>
      </c>
      <c r="F58" s="90">
        <f t="shared" si="57"/>
        <v>0</v>
      </c>
      <c r="G58" s="90">
        <f t="shared" si="57"/>
        <v>0</v>
      </c>
      <c r="H58" s="90">
        <f t="shared" si="57"/>
        <v>0</v>
      </c>
    </row>
    <row r="59" spans="1:8">
      <c r="A59" s="75" t="s">
        <v>44</v>
      </c>
      <c r="B59" s="91" t="e">
        <f t="shared" ref="B59:H59" si="58">B58/B57*100</f>
        <v>#DIV/0!</v>
      </c>
      <c r="C59" s="91" t="e">
        <f t="shared" si="58"/>
        <v>#DIV/0!</v>
      </c>
      <c r="D59" s="91" t="e">
        <f t="shared" si="58"/>
        <v>#DIV/0!</v>
      </c>
      <c r="E59" s="91" t="e">
        <f t="shared" si="58"/>
        <v>#DIV/0!</v>
      </c>
      <c r="F59" s="91" t="e">
        <f t="shared" si="58"/>
        <v>#DIV/0!</v>
      </c>
      <c r="G59" s="91" t="e">
        <f t="shared" si="58"/>
        <v>#DIV/0!</v>
      </c>
      <c r="H59" s="91" t="e">
        <f t="shared" si="58"/>
        <v>#DIV/0!</v>
      </c>
    </row>
    <row r="60" spans="1:8">
      <c r="A60" s="75" t="s">
        <v>21</v>
      </c>
      <c r="B60" s="90">
        <f t="shared" ref="B60:H61" si="59">K23+S23+AK23</f>
        <v>0</v>
      </c>
      <c r="C60" s="90">
        <f t="shared" si="59"/>
        <v>0</v>
      </c>
      <c r="D60" s="90">
        <f t="shared" si="59"/>
        <v>0</v>
      </c>
      <c r="E60" s="90">
        <f t="shared" si="59"/>
        <v>0</v>
      </c>
      <c r="F60" s="90">
        <f t="shared" si="59"/>
        <v>0</v>
      </c>
      <c r="G60" s="90">
        <f t="shared" si="59"/>
        <v>0</v>
      </c>
      <c r="H60" s="90">
        <f t="shared" si="59"/>
        <v>0</v>
      </c>
    </row>
    <row r="61" spans="1:8">
      <c r="A61" s="75" t="s">
        <v>51</v>
      </c>
      <c r="B61" s="90">
        <f t="shared" si="59"/>
        <v>0</v>
      </c>
      <c r="C61" s="90">
        <f t="shared" si="59"/>
        <v>0</v>
      </c>
      <c r="D61" s="90">
        <f t="shared" si="59"/>
        <v>0</v>
      </c>
      <c r="E61" s="90">
        <f t="shared" si="59"/>
        <v>0</v>
      </c>
      <c r="F61" s="90">
        <f t="shared" si="59"/>
        <v>0</v>
      </c>
      <c r="G61" s="90">
        <f t="shared" si="59"/>
        <v>0</v>
      </c>
      <c r="H61" s="90">
        <f t="shared" si="59"/>
        <v>0</v>
      </c>
    </row>
    <row r="62" spans="1:8">
      <c r="A62" s="75" t="s">
        <v>12</v>
      </c>
      <c r="B62" s="91" t="e">
        <f t="shared" ref="B62:H62" si="60">B61/B60*100</f>
        <v>#DIV/0!</v>
      </c>
      <c r="C62" s="91" t="e">
        <f t="shared" si="60"/>
        <v>#DIV/0!</v>
      </c>
      <c r="D62" s="91" t="e">
        <f t="shared" si="60"/>
        <v>#DIV/0!</v>
      </c>
      <c r="E62" s="91" t="e">
        <f t="shared" si="60"/>
        <v>#DIV/0!</v>
      </c>
      <c r="F62" s="91" t="e">
        <f t="shared" si="60"/>
        <v>#DIV/0!</v>
      </c>
      <c r="G62" s="91" t="e">
        <f t="shared" si="60"/>
        <v>#DIV/0!</v>
      </c>
      <c r="H62" s="91" t="e">
        <f t="shared" si="60"/>
        <v>#DIV/0!</v>
      </c>
    </row>
    <row r="63" spans="1:8">
      <c r="A63" s="75" t="s">
        <v>23</v>
      </c>
      <c r="B63" s="90">
        <f t="shared" ref="B63:H64" si="61">K26+S26+AK26</f>
        <v>0</v>
      </c>
      <c r="C63" s="90">
        <f t="shared" si="61"/>
        <v>0</v>
      </c>
      <c r="D63" s="90">
        <f t="shared" si="61"/>
        <v>0</v>
      </c>
      <c r="E63" s="90">
        <f t="shared" si="61"/>
        <v>0</v>
      </c>
      <c r="F63" s="90">
        <f t="shared" si="61"/>
        <v>0</v>
      </c>
      <c r="G63" s="90">
        <f t="shared" si="61"/>
        <v>0</v>
      </c>
      <c r="H63" s="90">
        <f t="shared" si="61"/>
        <v>0</v>
      </c>
    </row>
    <row r="64" spans="1:8">
      <c r="A64" s="75" t="s">
        <v>45</v>
      </c>
      <c r="B64" s="90">
        <f t="shared" si="61"/>
        <v>0</v>
      </c>
      <c r="C64" s="90">
        <f t="shared" si="61"/>
        <v>0</v>
      </c>
      <c r="D64" s="90">
        <f t="shared" si="61"/>
        <v>0</v>
      </c>
      <c r="E64" s="90">
        <f t="shared" si="61"/>
        <v>0</v>
      </c>
      <c r="F64" s="90">
        <f t="shared" si="61"/>
        <v>0</v>
      </c>
      <c r="G64" s="90">
        <f t="shared" si="61"/>
        <v>0</v>
      </c>
      <c r="H64" s="90">
        <f t="shared" si="61"/>
        <v>0</v>
      </c>
    </row>
    <row r="65" spans="1:8">
      <c r="A65" s="75" t="s">
        <v>12</v>
      </c>
      <c r="B65" s="91" t="e">
        <f t="shared" ref="B65:H65" si="62">B64/B63*100</f>
        <v>#DIV/0!</v>
      </c>
      <c r="C65" s="91" t="e">
        <f t="shared" si="62"/>
        <v>#DIV/0!</v>
      </c>
      <c r="D65" s="91" t="e">
        <f t="shared" si="62"/>
        <v>#DIV/0!</v>
      </c>
      <c r="E65" s="91" t="e">
        <f t="shared" si="62"/>
        <v>#DIV/0!</v>
      </c>
      <c r="F65" s="91" t="e">
        <f t="shared" si="62"/>
        <v>#DIV/0!</v>
      </c>
      <c r="G65" s="91" t="e">
        <f t="shared" si="62"/>
        <v>#DIV/0!</v>
      </c>
      <c r="H65" s="91" t="e">
        <f t="shared" si="62"/>
        <v>#DIV/0!</v>
      </c>
    </row>
    <row r="66" spans="1:8">
      <c r="A66" s="75" t="s">
        <v>25</v>
      </c>
      <c r="B66" s="90">
        <f t="shared" ref="B66:H67" si="63">K29+S29+AK29</f>
        <v>0</v>
      </c>
      <c r="C66" s="90">
        <f t="shared" si="63"/>
        <v>0</v>
      </c>
      <c r="D66" s="90">
        <f t="shared" si="63"/>
        <v>0</v>
      </c>
      <c r="E66" s="90">
        <f t="shared" si="63"/>
        <v>0</v>
      </c>
      <c r="F66" s="90">
        <f t="shared" si="63"/>
        <v>0</v>
      </c>
      <c r="G66" s="90">
        <f t="shared" si="63"/>
        <v>0</v>
      </c>
      <c r="H66" s="90">
        <f t="shared" si="63"/>
        <v>0</v>
      </c>
    </row>
    <row r="67" spans="1:8">
      <c r="A67" s="75" t="s">
        <v>46</v>
      </c>
      <c r="B67" s="90">
        <f t="shared" si="63"/>
        <v>0</v>
      </c>
      <c r="C67" s="90">
        <f t="shared" si="63"/>
        <v>0</v>
      </c>
      <c r="D67" s="90">
        <f t="shared" si="63"/>
        <v>0</v>
      </c>
      <c r="E67" s="90">
        <f t="shared" si="63"/>
        <v>0</v>
      </c>
      <c r="F67" s="90">
        <f t="shared" si="63"/>
        <v>0</v>
      </c>
      <c r="G67" s="90">
        <f t="shared" si="63"/>
        <v>0</v>
      </c>
      <c r="H67" s="90">
        <f t="shared" si="63"/>
        <v>0</v>
      </c>
    </row>
    <row r="68" spans="1:8">
      <c r="A68" s="75" t="s">
        <v>12</v>
      </c>
      <c r="B68" s="91" t="e">
        <f t="shared" ref="B68:H68" si="64">B67/B66*100</f>
        <v>#DIV/0!</v>
      </c>
      <c r="C68" s="91" t="e">
        <f t="shared" si="64"/>
        <v>#DIV/0!</v>
      </c>
      <c r="D68" s="91" t="e">
        <f t="shared" si="64"/>
        <v>#DIV/0!</v>
      </c>
      <c r="E68" s="91" t="e">
        <f t="shared" si="64"/>
        <v>#DIV/0!</v>
      </c>
      <c r="F68" s="91" t="e">
        <f t="shared" si="64"/>
        <v>#DIV/0!</v>
      </c>
      <c r="G68" s="91" t="e">
        <f t="shared" si="64"/>
        <v>#DIV/0!</v>
      </c>
      <c r="H68" s="91" t="e">
        <f t="shared" si="64"/>
        <v>#DIV/0!</v>
      </c>
    </row>
    <row r="69" spans="1:8">
      <c r="A69" s="75" t="s">
        <v>27</v>
      </c>
      <c r="B69" s="90">
        <f t="shared" ref="B69:H70" si="65">K32+S32+AK32</f>
        <v>0</v>
      </c>
      <c r="C69" s="90">
        <f t="shared" si="65"/>
        <v>0</v>
      </c>
      <c r="D69" s="90">
        <f t="shared" si="65"/>
        <v>0</v>
      </c>
      <c r="E69" s="90">
        <f t="shared" si="65"/>
        <v>0</v>
      </c>
      <c r="F69" s="90">
        <f t="shared" si="65"/>
        <v>0</v>
      </c>
      <c r="G69" s="90">
        <f t="shared" si="65"/>
        <v>0</v>
      </c>
      <c r="H69" s="90">
        <f t="shared" si="65"/>
        <v>0</v>
      </c>
    </row>
    <row r="70" spans="1:8">
      <c r="A70" s="75" t="s">
        <v>47</v>
      </c>
      <c r="B70" s="90">
        <f t="shared" si="65"/>
        <v>0</v>
      </c>
      <c r="C70" s="90">
        <f t="shared" si="65"/>
        <v>0</v>
      </c>
      <c r="D70" s="90">
        <f t="shared" si="65"/>
        <v>0</v>
      </c>
      <c r="E70" s="90">
        <f t="shared" si="65"/>
        <v>0</v>
      </c>
      <c r="F70" s="90">
        <f t="shared" si="65"/>
        <v>0</v>
      </c>
      <c r="G70" s="90">
        <f t="shared" si="65"/>
        <v>0</v>
      </c>
      <c r="H70" s="90">
        <f t="shared" si="65"/>
        <v>0</v>
      </c>
    </row>
    <row r="71" spans="1:8">
      <c r="A71" s="75" t="s">
        <v>12</v>
      </c>
      <c r="B71" s="91" t="e">
        <f t="shared" ref="B71:H71" si="66">B70/B69*100</f>
        <v>#DIV/0!</v>
      </c>
      <c r="C71" s="91" t="e">
        <f t="shared" si="66"/>
        <v>#DIV/0!</v>
      </c>
      <c r="D71" s="91" t="e">
        <f t="shared" si="66"/>
        <v>#DIV/0!</v>
      </c>
      <c r="E71" s="91" t="e">
        <f t="shared" si="66"/>
        <v>#DIV/0!</v>
      </c>
      <c r="F71" s="91" t="e">
        <f t="shared" si="66"/>
        <v>#DIV/0!</v>
      </c>
      <c r="G71" s="91" t="e">
        <f t="shared" si="66"/>
        <v>#DIV/0!</v>
      </c>
      <c r="H71" s="91" t="e">
        <f t="shared" si="66"/>
        <v>#DIV/0!</v>
      </c>
    </row>
    <row r="72" spans="1:8">
      <c r="A72" s="75" t="s">
        <v>29</v>
      </c>
      <c r="B72" s="90">
        <f t="shared" ref="B72:H73" si="67">K35+S35+AK35</f>
        <v>0</v>
      </c>
      <c r="C72" s="90">
        <f t="shared" si="67"/>
        <v>0</v>
      </c>
      <c r="D72" s="90">
        <f t="shared" si="67"/>
        <v>0</v>
      </c>
      <c r="E72" s="90">
        <f t="shared" si="67"/>
        <v>0</v>
      </c>
      <c r="F72" s="90">
        <f t="shared" si="67"/>
        <v>0</v>
      </c>
      <c r="G72" s="90">
        <f t="shared" si="67"/>
        <v>0</v>
      </c>
      <c r="H72" s="90">
        <f t="shared" si="67"/>
        <v>0</v>
      </c>
    </row>
    <row r="73" spans="1:8">
      <c r="A73" s="75" t="s">
        <v>48</v>
      </c>
      <c r="B73" s="90">
        <f t="shared" si="67"/>
        <v>0</v>
      </c>
      <c r="C73" s="90">
        <f t="shared" si="67"/>
        <v>0</v>
      </c>
      <c r="D73" s="90">
        <f t="shared" si="67"/>
        <v>0</v>
      </c>
      <c r="E73" s="90">
        <f t="shared" si="67"/>
        <v>0</v>
      </c>
      <c r="F73" s="90">
        <f t="shared" si="67"/>
        <v>0</v>
      </c>
      <c r="G73" s="90">
        <f t="shared" si="67"/>
        <v>0</v>
      </c>
      <c r="H73" s="90">
        <f t="shared" si="67"/>
        <v>0</v>
      </c>
    </row>
    <row r="74" spans="1:8">
      <c r="A74" s="75" t="s">
        <v>12</v>
      </c>
      <c r="B74" s="91" t="e">
        <f t="shared" ref="B74:H74" si="68">B73/B72*100</f>
        <v>#DIV/0!</v>
      </c>
      <c r="C74" s="91" t="e">
        <f t="shared" si="68"/>
        <v>#DIV/0!</v>
      </c>
      <c r="D74" s="91" t="e">
        <f t="shared" si="68"/>
        <v>#DIV/0!</v>
      </c>
      <c r="E74" s="91" t="e">
        <f t="shared" si="68"/>
        <v>#DIV/0!</v>
      </c>
      <c r="F74" s="91" t="e">
        <f t="shared" si="68"/>
        <v>#DIV/0!</v>
      </c>
      <c r="G74" s="91" t="e">
        <f t="shared" si="68"/>
        <v>#DIV/0!</v>
      </c>
      <c r="H74" s="91" t="e">
        <f t="shared" si="68"/>
        <v>#DIV/0!</v>
      </c>
    </row>
    <row r="75" spans="1:8">
      <c r="A75" s="75" t="s">
        <v>31</v>
      </c>
      <c r="B75" s="90">
        <f t="shared" ref="B75:H76" si="69">K38+S38+AK38</f>
        <v>0</v>
      </c>
      <c r="C75" s="90">
        <f t="shared" si="69"/>
        <v>0</v>
      </c>
      <c r="D75" s="90">
        <f t="shared" si="69"/>
        <v>0</v>
      </c>
      <c r="E75" s="90">
        <f t="shared" si="69"/>
        <v>0</v>
      </c>
      <c r="F75" s="90">
        <f t="shared" si="69"/>
        <v>0</v>
      </c>
      <c r="G75" s="90">
        <f t="shared" si="69"/>
        <v>0</v>
      </c>
      <c r="H75" s="90">
        <f t="shared" si="69"/>
        <v>0</v>
      </c>
    </row>
    <row r="76" spans="1:8">
      <c r="A76" s="75" t="s">
        <v>52</v>
      </c>
      <c r="B76" s="90">
        <f t="shared" si="69"/>
        <v>0</v>
      </c>
      <c r="C76" s="90">
        <f t="shared" si="69"/>
        <v>0</v>
      </c>
      <c r="D76" s="90">
        <f t="shared" si="69"/>
        <v>0</v>
      </c>
      <c r="E76" s="90">
        <f t="shared" si="69"/>
        <v>0</v>
      </c>
      <c r="F76" s="90">
        <f t="shared" si="69"/>
        <v>0</v>
      </c>
      <c r="G76" s="90">
        <f t="shared" si="69"/>
        <v>0</v>
      </c>
      <c r="H76" s="90">
        <f t="shared" si="69"/>
        <v>0</v>
      </c>
    </row>
    <row r="77" spans="1:8">
      <c r="A77" s="75" t="s">
        <v>12</v>
      </c>
      <c r="B77" s="91" t="e">
        <f t="shared" ref="B77:H77" si="70">B76/B75*100</f>
        <v>#DIV/0!</v>
      </c>
      <c r="C77" s="91" t="e">
        <f t="shared" si="70"/>
        <v>#DIV/0!</v>
      </c>
      <c r="D77" s="91" t="e">
        <f t="shared" si="70"/>
        <v>#DIV/0!</v>
      </c>
      <c r="E77" s="91" t="e">
        <f t="shared" si="70"/>
        <v>#DIV/0!</v>
      </c>
      <c r="F77" s="91" t="e">
        <f t="shared" si="70"/>
        <v>#DIV/0!</v>
      </c>
      <c r="G77" s="91" t="e">
        <f t="shared" si="70"/>
        <v>#DIV/0!</v>
      </c>
      <c r="H77" s="91" t="e">
        <f t="shared" si="70"/>
        <v>#DIV/0!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71">B9-B46</f>
        <v>0</v>
      </c>
      <c r="C83" s="83">
        <f t="shared" si="71"/>
        <v>0</v>
      </c>
      <c r="D83" s="83">
        <f t="shared" si="71"/>
        <v>0</v>
      </c>
      <c r="E83" s="83">
        <f t="shared" si="71"/>
        <v>0</v>
      </c>
      <c r="F83" s="83">
        <f t="shared" si="71"/>
        <v>0</v>
      </c>
      <c r="G83" s="83">
        <f t="shared" si="71"/>
        <v>0</v>
      </c>
      <c r="H83" s="83">
        <f t="shared" si="71"/>
        <v>0</v>
      </c>
    </row>
    <row r="84" spans="1:8">
      <c r="A84" s="84" t="s">
        <v>50</v>
      </c>
      <c r="B84" s="83">
        <f t="shared" si="71"/>
        <v>0</v>
      </c>
      <c r="C84" s="83">
        <f t="shared" si="71"/>
        <v>0</v>
      </c>
      <c r="D84" s="83">
        <f t="shared" si="71"/>
        <v>0</v>
      </c>
      <c r="E84" s="83">
        <f t="shared" si="71"/>
        <v>0</v>
      </c>
      <c r="F84" s="83">
        <f t="shared" si="71"/>
        <v>0</v>
      </c>
      <c r="G84" s="83">
        <f t="shared" si="71"/>
        <v>0</v>
      </c>
      <c r="H84" s="83">
        <f t="shared" si="71"/>
        <v>0</v>
      </c>
    </row>
    <row r="85" spans="1:8">
      <c r="A85" s="85" t="s">
        <v>44</v>
      </c>
      <c r="B85" s="83" t="e">
        <f t="shared" si="71"/>
        <v>#DIV/0!</v>
      </c>
      <c r="C85" s="83" t="e">
        <f t="shared" si="71"/>
        <v>#DIV/0!</v>
      </c>
      <c r="D85" s="83" t="e">
        <f t="shared" si="71"/>
        <v>#DIV/0!</v>
      </c>
      <c r="E85" s="83" t="e">
        <f t="shared" si="71"/>
        <v>#DIV/0!</v>
      </c>
      <c r="F85" s="83" t="e">
        <f t="shared" si="71"/>
        <v>#DIV/0!</v>
      </c>
      <c r="G85" s="83" t="e">
        <f t="shared" si="71"/>
        <v>#DIV/0!</v>
      </c>
      <c r="H85" s="83" t="e">
        <f t="shared" si="71"/>
        <v>#DIV/0!</v>
      </c>
    </row>
    <row r="86" spans="1:8">
      <c r="A86" s="87" t="s">
        <v>11</v>
      </c>
      <c r="B86" s="83">
        <f t="shared" si="71"/>
        <v>0</v>
      </c>
      <c r="C86" s="83">
        <f t="shared" si="71"/>
        <v>0</v>
      </c>
      <c r="D86" s="83">
        <f t="shared" si="71"/>
        <v>0</v>
      </c>
      <c r="E86" s="83">
        <f t="shared" si="71"/>
        <v>0</v>
      </c>
      <c r="F86" s="83">
        <f t="shared" si="71"/>
        <v>0</v>
      </c>
      <c r="G86" s="83">
        <f t="shared" si="71"/>
        <v>0</v>
      </c>
      <c r="H86" s="83">
        <f t="shared" si="71"/>
        <v>0</v>
      </c>
    </row>
    <row r="87" spans="1:8">
      <c r="A87" s="75" t="s">
        <v>40</v>
      </c>
      <c r="B87" s="83">
        <f t="shared" si="71"/>
        <v>0</v>
      </c>
      <c r="C87" s="83">
        <f t="shared" si="71"/>
        <v>0</v>
      </c>
      <c r="D87" s="83">
        <f t="shared" si="71"/>
        <v>0</v>
      </c>
      <c r="E87" s="83">
        <f t="shared" si="71"/>
        <v>0</v>
      </c>
      <c r="F87" s="83">
        <f t="shared" si="71"/>
        <v>0</v>
      </c>
      <c r="G87" s="83">
        <f t="shared" si="71"/>
        <v>0</v>
      </c>
      <c r="H87" s="83">
        <f t="shared" si="71"/>
        <v>0</v>
      </c>
    </row>
    <row r="88" spans="1:8">
      <c r="A88" s="75" t="s">
        <v>50</v>
      </c>
      <c r="B88" s="83">
        <f t="shared" si="71"/>
        <v>0</v>
      </c>
      <c r="C88" s="83">
        <f t="shared" si="71"/>
        <v>0</v>
      </c>
      <c r="D88" s="83">
        <f t="shared" si="71"/>
        <v>0</v>
      </c>
      <c r="E88" s="83">
        <f t="shared" si="71"/>
        <v>0</v>
      </c>
      <c r="F88" s="83">
        <f t="shared" si="71"/>
        <v>0</v>
      </c>
      <c r="G88" s="83">
        <f t="shared" si="71"/>
        <v>0</v>
      </c>
      <c r="H88" s="83">
        <f t="shared" si="71"/>
        <v>0</v>
      </c>
    </row>
    <row r="89" spans="1:8">
      <c r="A89" s="75" t="s">
        <v>44</v>
      </c>
      <c r="B89" s="83" t="e">
        <f t="shared" si="71"/>
        <v>#DIV/0!</v>
      </c>
      <c r="C89" s="83" t="e">
        <f t="shared" si="71"/>
        <v>#DIV/0!</v>
      </c>
      <c r="D89" s="83" t="e">
        <f t="shared" si="71"/>
        <v>#DIV/0!</v>
      </c>
      <c r="E89" s="83" t="e">
        <f t="shared" si="71"/>
        <v>#DIV/0!</v>
      </c>
      <c r="F89" s="83" t="e">
        <f t="shared" si="71"/>
        <v>#DIV/0!</v>
      </c>
      <c r="G89" s="83" t="e">
        <f t="shared" si="71"/>
        <v>#DIV/0!</v>
      </c>
      <c r="H89" s="83" t="e">
        <f t="shared" si="71"/>
        <v>#DIV/0!</v>
      </c>
    </row>
    <row r="90" spans="1:8">
      <c r="A90" s="75" t="s">
        <v>13</v>
      </c>
      <c r="B90" s="83">
        <f t="shared" si="71"/>
        <v>0</v>
      </c>
      <c r="C90" s="83">
        <f t="shared" si="71"/>
        <v>0</v>
      </c>
      <c r="D90" s="83">
        <f t="shared" si="71"/>
        <v>0</v>
      </c>
      <c r="E90" s="83">
        <f t="shared" si="71"/>
        <v>0</v>
      </c>
      <c r="F90" s="83">
        <f t="shared" si="71"/>
        <v>0</v>
      </c>
      <c r="G90" s="83">
        <f t="shared" si="71"/>
        <v>0</v>
      </c>
      <c r="H90" s="83">
        <f t="shared" si="71"/>
        <v>0</v>
      </c>
    </row>
    <row r="91" spans="1:8">
      <c r="A91" s="92" t="s">
        <v>14</v>
      </c>
      <c r="B91" s="83">
        <f t="shared" si="71"/>
        <v>0</v>
      </c>
      <c r="C91" s="83">
        <f t="shared" si="71"/>
        <v>0</v>
      </c>
      <c r="D91" s="83">
        <f t="shared" si="71"/>
        <v>0</v>
      </c>
      <c r="E91" s="83">
        <f t="shared" si="71"/>
        <v>0</v>
      </c>
      <c r="F91" s="83">
        <f t="shared" si="71"/>
        <v>0</v>
      </c>
      <c r="G91" s="83">
        <f t="shared" si="71"/>
        <v>0</v>
      </c>
      <c r="H91" s="83">
        <f t="shared" si="71"/>
        <v>0</v>
      </c>
    </row>
    <row r="92" spans="1:8">
      <c r="A92" s="75" t="s">
        <v>15</v>
      </c>
      <c r="B92" s="83">
        <f t="shared" si="71"/>
        <v>0</v>
      </c>
      <c r="C92" s="83">
        <f t="shared" si="71"/>
        <v>0</v>
      </c>
      <c r="D92" s="83">
        <f t="shared" si="71"/>
        <v>0</v>
      </c>
      <c r="E92" s="83">
        <f t="shared" si="71"/>
        <v>0</v>
      </c>
      <c r="F92" s="83">
        <f t="shared" si="71"/>
        <v>0</v>
      </c>
      <c r="G92" s="83">
        <f t="shared" si="71"/>
        <v>0</v>
      </c>
      <c r="H92" s="83">
        <f t="shared" si="71"/>
        <v>0</v>
      </c>
    </row>
    <row r="93" spans="1:8">
      <c r="A93" s="87" t="s">
        <v>16</v>
      </c>
      <c r="B93" s="83">
        <f t="shared" si="71"/>
        <v>0</v>
      </c>
      <c r="C93" s="83">
        <f t="shared" si="71"/>
        <v>0</v>
      </c>
      <c r="D93" s="83">
        <f t="shared" si="71"/>
        <v>0</v>
      </c>
      <c r="E93" s="83">
        <f t="shared" si="71"/>
        <v>0</v>
      </c>
      <c r="F93" s="83">
        <f t="shared" si="71"/>
        <v>0</v>
      </c>
      <c r="G93" s="83">
        <f t="shared" si="71"/>
        <v>0</v>
      </c>
      <c r="H93" s="83">
        <f t="shared" si="71"/>
        <v>0</v>
      </c>
    </row>
    <row r="94" spans="1:8">
      <c r="A94" s="75" t="s">
        <v>40</v>
      </c>
      <c r="B94" s="83">
        <f t="shared" si="71"/>
        <v>0</v>
      </c>
      <c r="C94" s="83">
        <f t="shared" si="71"/>
        <v>0</v>
      </c>
      <c r="D94" s="83">
        <f t="shared" si="71"/>
        <v>0</v>
      </c>
      <c r="E94" s="83">
        <f t="shared" si="71"/>
        <v>0</v>
      </c>
      <c r="F94" s="83">
        <f t="shared" si="71"/>
        <v>0</v>
      </c>
      <c r="G94" s="83">
        <f t="shared" si="71"/>
        <v>0</v>
      </c>
      <c r="H94" s="83">
        <f t="shared" si="71"/>
        <v>0</v>
      </c>
    </row>
    <row r="95" spans="1:8">
      <c r="A95" s="92" t="s">
        <v>50</v>
      </c>
      <c r="B95" s="83">
        <f t="shared" si="71"/>
        <v>0</v>
      </c>
      <c r="C95" s="83">
        <f t="shared" si="71"/>
        <v>0</v>
      </c>
      <c r="D95" s="83">
        <f t="shared" si="71"/>
        <v>0</v>
      </c>
      <c r="E95" s="83">
        <f t="shared" si="71"/>
        <v>0</v>
      </c>
      <c r="F95" s="83">
        <f t="shared" si="71"/>
        <v>0</v>
      </c>
      <c r="G95" s="83">
        <f t="shared" si="71"/>
        <v>0</v>
      </c>
      <c r="H95" s="83">
        <f t="shared" si="71"/>
        <v>0</v>
      </c>
    </row>
    <row r="96" spans="1:8">
      <c r="A96" s="75" t="s">
        <v>44</v>
      </c>
      <c r="B96" s="83" t="e">
        <f t="shared" si="71"/>
        <v>#DIV/0!</v>
      </c>
      <c r="C96" s="83" t="e">
        <f t="shared" si="71"/>
        <v>#DIV/0!</v>
      </c>
      <c r="D96" s="83" t="e">
        <f t="shared" si="71"/>
        <v>#DIV/0!</v>
      </c>
      <c r="E96" s="83" t="e">
        <f t="shared" si="71"/>
        <v>#DIV/0!</v>
      </c>
      <c r="F96" s="83" t="e">
        <f t="shared" si="71"/>
        <v>#DIV/0!</v>
      </c>
      <c r="G96" s="83" t="e">
        <f t="shared" si="71"/>
        <v>#DIV/0!</v>
      </c>
      <c r="H96" s="83" t="e">
        <f t="shared" si="71"/>
        <v>#DIV/0!</v>
      </c>
    </row>
    <row r="97" spans="1:8">
      <c r="A97" s="75" t="s">
        <v>21</v>
      </c>
      <c r="B97" s="83">
        <f t="shared" si="71"/>
        <v>0</v>
      </c>
      <c r="C97" s="83">
        <f t="shared" si="71"/>
        <v>0</v>
      </c>
      <c r="D97" s="83">
        <f t="shared" si="71"/>
        <v>0</v>
      </c>
      <c r="E97" s="83">
        <f t="shared" si="71"/>
        <v>0</v>
      </c>
      <c r="F97" s="83">
        <f t="shared" si="71"/>
        <v>0</v>
      </c>
      <c r="G97" s="83">
        <f t="shared" si="71"/>
        <v>0</v>
      </c>
      <c r="H97" s="83">
        <f t="shared" si="71"/>
        <v>0</v>
      </c>
    </row>
    <row r="98" spans="1:8">
      <c r="A98" s="75" t="s">
        <v>51</v>
      </c>
      <c r="B98" s="83">
        <f t="shared" si="71"/>
        <v>0</v>
      </c>
      <c r="C98" s="83">
        <f t="shared" si="71"/>
        <v>0</v>
      </c>
      <c r="D98" s="83">
        <f t="shared" si="71"/>
        <v>0</v>
      </c>
      <c r="E98" s="83">
        <f t="shared" si="71"/>
        <v>0</v>
      </c>
      <c r="F98" s="83">
        <f t="shared" si="71"/>
        <v>0</v>
      </c>
      <c r="G98" s="83">
        <f t="shared" si="71"/>
        <v>0</v>
      </c>
      <c r="H98" s="83">
        <f t="shared" si="71"/>
        <v>0</v>
      </c>
    </row>
    <row r="99" spans="1:8">
      <c r="A99" s="75" t="s">
        <v>12</v>
      </c>
      <c r="B99" s="83" t="e">
        <f t="shared" ref="B99:H114" si="72">B25-B62</f>
        <v>#DIV/0!</v>
      </c>
      <c r="C99" s="83" t="e">
        <f t="shared" si="72"/>
        <v>#DIV/0!</v>
      </c>
      <c r="D99" s="83" t="e">
        <f t="shared" si="72"/>
        <v>#DIV/0!</v>
      </c>
      <c r="E99" s="83" t="e">
        <f t="shared" si="72"/>
        <v>#DIV/0!</v>
      </c>
      <c r="F99" s="83" t="e">
        <f t="shared" si="72"/>
        <v>#DIV/0!</v>
      </c>
      <c r="G99" s="83" t="e">
        <f t="shared" si="72"/>
        <v>#DIV/0!</v>
      </c>
      <c r="H99" s="83" t="e">
        <f t="shared" si="72"/>
        <v>#DIV/0!</v>
      </c>
    </row>
    <row r="100" spans="1:8">
      <c r="A100" s="75" t="s">
        <v>23</v>
      </c>
      <c r="B100" s="83">
        <f t="shared" si="72"/>
        <v>0</v>
      </c>
      <c r="C100" s="83">
        <f t="shared" si="72"/>
        <v>0</v>
      </c>
      <c r="D100" s="83">
        <f t="shared" si="72"/>
        <v>0</v>
      </c>
      <c r="E100" s="83">
        <f t="shared" si="72"/>
        <v>0</v>
      </c>
      <c r="F100" s="83">
        <f t="shared" si="72"/>
        <v>0</v>
      </c>
      <c r="G100" s="83">
        <f t="shared" si="72"/>
        <v>0</v>
      </c>
      <c r="H100" s="83">
        <f t="shared" si="72"/>
        <v>0</v>
      </c>
    </row>
    <row r="101" spans="1:8">
      <c r="A101" s="75" t="s">
        <v>45</v>
      </c>
      <c r="B101" s="83">
        <f t="shared" si="72"/>
        <v>0</v>
      </c>
      <c r="C101" s="83">
        <f t="shared" si="72"/>
        <v>0</v>
      </c>
      <c r="D101" s="83">
        <f t="shared" si="72"/>
        <v>0</v>
      </c>
      <c r="E101" s="83">
        <f t="shared" si="72"/>
        <v>0</v>
      </c>
      <c r="F101" s="83">
        <f t="shared" si="72"/>
        <v>0</v>
      </c>
      <c r="G101" s="83">
        <f t="shared" si="72"/>
        <v>0</v>
      </c>
      <c r="H101" s="83">
        <f t="shared" si="72"/>
        <v>0</v>
      </c>
    </row>
    <row r="102" spans="1:8">
      <c r="A102" s="75" t="s">
        <v>12</v>
      </c>
      <c r="B102" s="83" t="e">
        <f t="shared" si="72"/>
        <v>#DIV/0!</v>
      </c>
      <c r="C102" s="83" t="e">
        <f t="shared" si="72"/>
        <v>#DIV/0!</v>
      </c>
      <c r="D102" s="83" t="e">
        <f t="shared" si="72"/>
        <v>#DIV/0!</v>
      </c>
      <c r="E102" s="83" t="e">
        <f t="shared" si="72"/>
        <v>#DIV/0!</v>
      </c>
      <c r="F102" s="83" t="e">
        <f t="shared" si="72"/>
        <v>#DIV/0!</v>
      </c>
      <c r="G102" s="83" t="e">
        <f t="shared" si="72"/>
        <v>#DIV/0!</v>
      </c>
      <c r="H102" s="83" t="e">
        <f t="shared" si="72"/>
        <v>#DIV/0!</v>
      </c>
    </row>
    <row r="103" spans="1:8">
      <c r="A103" s="75" t="s">
        <v>25</v>
      </c>
      <c r="B103" s="83">
        <f t="shared" si="72"/>
        <v>0</v>
      </c>
      <c r="C103" s="83">
        <f t="shared" si="72"/>
        <v>0</v>
      </c>
      <c r="D103" s="83">
        <f t="shared" si="72"/>
        <v>0</v>
      </c>
      <c r="E103" s="83">
        <f t="shared" si="72"/>
        <v>0</v>
      </c>
      <c r="F103" s="83">
        <f t="shared" si="72"/>
        <v>0</v>
      </c>
      <c r="G103" s="83">
        <f t="shared" si="72"/>
        <v>0</v>
      </c>
      <c r="H103" s="83">
        <f t="shared" si="72"/>
        <v>0</v>
      </c>
    </row>
    <row r="104" spans="1:8">
      <c r="A104" s="75" t="s">
        <v>46</v>
      </c>
      <c r="B104" s="83">
        <f t="shared" si="72"/>
        <v>0</v>
      </c>
      <c r="C104" s="83">
        <f t="shared" si="72"/>
        <v>0</v>
      </c>
      <c r="D104" s="83">
        <f t="shared" si="72"/>
        <v>0</v>
      </c>
      <c r="E104" s="83">
        <f t="shared" si="72"/>
        <v>0</v>
      </c>
      <c r="F104" s="83">
        <f t="shared" si="72"/>
        <v>0</v>
      </c>
      <c r="G104" s="83">
        <f t="shared" si="72"/>
        <v>0</v>
      </c>
      <c r="H104" s="83">
        <f t="shared" si="72"/>
        <v>0</v>
      </c>
    </row>
    <row r="105" spans="1:8">
      <c r="A105" s="75" t="s">
        <v>12</v>
      </c>
      <c r="B105" s="83" t="e">
        <f t="shared" si="72"/>
        <v>#DIV/0!</v>
      </c>
      <c r="C105" s="83" t="e">
        <f t="shared" si="72"/>
        <v>#DIV/0!</v>
      </c>
      <c r="D105" s="83" t="e">
        <f t="shared" si="72"/>
        <v>#DIV/0!</v>
      </c>
      <c r="E105" s="83" t="e">
        <f t="shared" si="72"/>
        <v>#DIV/0!</v>
      </c>
      <c r="F105" s="83" t="e">
        <f t="shared" si="72"/>
        <v>#DIV/0!</v>
      </c>
      <c r="G105" s="83" t="e">
        <f t="shared" si="72"/>
        <v>#DIV/0!</v>
      </c>
      <c r="H105" s="83" t="e">
        <f t="shared" si="72"/>
        <v>#DIV/0!</v>
      </c>
    </row>
    <row r="106" spans="1:8">
      <c r="A106" s="75" t="s">
        <v>27</v>
      </c>
      <c r="B106" s="83">
        <f t="shared" si="72"/>
        <v>0</v>
      </c>
      <c r="C106" s="83">
        <f t="shared" si="72"/>
        <v>0</v>
      </c>
      <c r="D106" s="83">
        <f t="shared" si="72"/>
        <v>0</v>
      </c>
      <c r="E106" s="83">
        <f t="shared" si="72"/>
        <v>0</v>
      </c>
      <c r="F106" s="83">
        <f t="shared" si="72"/>
        <v>0</v>
      </c>
      <c r="G106" s="83">
        <f t="shared" si="72"/>
        <v>0</v>
      </c>
      <c r="H106" s="83">
        <f t="shared" si="72"/>
        <v>0</v>
      </c>
    </row>
    <row r="107" spans="1:8">
      <c r="A107" s="75" t="s">
        <v>47</v>
      </c>
      <c r="B107" s="83">
        <f t="shared" si="72"/>
        <v>0</v>
      </c>
      <c r="C107" s="83">
        <f t="shared" si="72"/>
        <v>0</v>
      </c>
      <c r="D107" s="83">
        <f t="shared" si="72"/>
        <v>0</v>
      </c>
      <c r="E107" s="83">
        <f t="shared" si="72"/>
        <v>0</v>
      </c>
      <c r="F107" s="83">
        <f t="shared" si="72"/>
        <v>0</v>
      </c>
      <c r="G107" s="83">
        <f t="shared" si="72"/>
        <v>0</v>
      </c>
      <c r="H107" s="83">
        <f t="shared" si="72"/>
        <v>0</v>
      </c>
    </row>
    <row r="108" spans="1:8">
      <c r="A108" s="75" t="s">
        <v>12</v>
      </c>
      <c r="B108" s="83" t="e">
        <f t="shared" si="72"/>
        <v>#DIV/0!</v>
      </c>
      <c r="C108" s="83" t="e">
        <f t="shared" si="72"/>
        <v>#DIV/0!</v>
      </c>
      <c r="D108" s="83" t="e">
        <f t="shared" si="72"/>
        <v>#DIV/0!</v>
      </c>
      <c r="E108" s="83" t="e">
        <f t="shared" si="72"/>
        <v>#DIV/0!</v>
      </c>
      <c r="F108" s="83" t="e">
        <f t="shared" si="72"/>
        <v>#DIV/0!</v>
      </c>
      <c r="G108" s="83" t="e">
        <f t="shared" si="72"/>
        <v>#DIV/0!</v>
      </c>
      <c r="H108" s="83" t="e">
        <f t="shared" si="72"/>
        <v>#DIV/0!</v>
      </c>
    </row>
    <row r="109" spans="1:8">
      <c r="A109" s="75" t="s">
        <v>29</v>
      </c>
      <c r="B109" s="83">
        <f t="shared" si="72"/>
        <v>0</v>
      </c>
      <c r="C109" s="83">
        <f t="shared" si="72"/>
        <v>0</v>
      </c>
      <c r="D109" s="83">
        <f t="shared" si="72"/>
        <v>0</v>
      </c>
      <c r="E109" s="83">
        <f t="shared" si="72"/>
        <v>0</v>
      </c>
      <c r="F109" s="83">
        <f t="shared" si="72"/>
        <v>0</v>
      </c>
      <c r="G109" s="83">
        <f t="shared" si="72"/>
        <v>0</v>
      </c>
      <c r="H109" s="83">
        <f t="shared" si="72"/>
        <v>0</v>
      </c>
    </row>
    <row r="110" spans="1:8">
      <c r="A110" s="75" t="s">
        <v>48</v>
      </c>
      <c r="B110" s="83">
        <f t="shared" si="72"/>
        <v>0</v>
      </c>
      <c r="C110" s="83">
        <f t="shared" si="72"/>
        <v>0</v>
      </c>
      <c r="D110" s="83">
        <f t="shared" si="72"/>
        <v>0</v>
      </c>
      <c r="E110" s="83">
        <f t="shared" si="72"/>
        <v>0</v>
      </c>
      <c r="F110" s="83">
        <f t="shared" si="72"/>
        <v>0</v>
      </c>
      <c r="G110" s="83">
        <f t="shared" si="72"/>
        <v>0</v>
      </c>
      <c r="H110" s="83">
        <f t="shared" si="72"/>
        <v>0</v>
      </c>
    </row>
    <row r="111" spans="1:8">
      <c r="A111" s="75" t="s">
        <v>12</v>
      </c>
      <c r="B111" s="83" t="e">
        <f t="shared" si="72"/>
        <v>#DIV/0!</v>
      </c>
      <c r="C111" s="83" t="e">
        <f t="shared" si="72"/>
        <v>#DIV/0!</v>
      </c>
      <c r="D111" s="83" t="e">
        <f t="shared" si="72"/>
        <v>#DIV/0!</v>
      </c>
      <c r="E111" s="83" t="e">
        <f t="shared" si="72"/>
        <v>#DIV/0!</v>
      </c>
      <c r="F111" s="83" t="e">
        <f t="shared" si="72"/>
        <v>#DIV/0!</v>
      </c>
      <c r="G111" s="83" t="e">
        <f t="shared" si="72"/>
        <v>#DIV/0!</v>
      </c>
      <c r="H111" s="83" t="e">
        <f t="shared" si="72"/>
        <v>#DIV/0!</v>
      </c>
    </row>
    <row r="112" spans="1:8">
      <c r="A112" s="75" t="s">
        <v>31</v>
      </c>
      <c r="B112" s="83">
        <f t="shared" si="72"/>
        <v>0</v>
      </c>
      <c r="C112" s="83">
        <f t="shared" si="72"/>
        <v>0</v>
      </c>
      <c r="D112" s="83">
        <f t="shared" si="72"/>
        <v>0</v>
      </c>
      <c r="E112" s="83">
        <f t="shared" si="72"/>
        <v>0</v>
      </c>
      <c r="F112" s="83">
        <f t="shared" si="72"/>
        <v>0</v>
      </c>
      <c r="G112" s="83">
        <f t="shared" si="72"/>
        <v>0</v>
      </c>
      <c r="H112" s="83">
        <f t="shared" si="72"/>
        <v>0</v>
      </c>
    </row>
    <row r="113" spans="1:8">
      <c r="A113" s="75" t="s">
        <v>52</v>
      </c>
      <c r="B113" s="83">
        <f t="shared" si="72"/>
        <v>0</v>
      </c>
      <c r="C113" s="83">
        <f t="shared" si="72"/>
        <v>0</v>
      </c>
      <c r="D113" s="83">
        <f t="shared" si="72"/>
        <v>0</v>
      </c>
      <c r="E113" s="83">
        <f t="shared" si="72"/>
        <v>0</v>
      </c>
      <c r="F113" s="83">
        <f t="shared" si="72"/>
        <v>0</v>
      </c>
      <c r="G113" s="83">
        <f t="shared" si="72"/>
        <v>0</v>
      </c>
      <c r="H113" s="83">
        <f t="shared" si="72"/>
        <v>0</v>
      </c>
    </row>
    <row r="114" spans="1:8">
      <c r="A114" s="75" t="s">
        <v>12</v>
      </c>
      <c r="B114" s="83" t="e">
        <f t="shared" si="72"/>
        <v>#DIV/0!</v>
      </c>
      <c r="C114" s="83" t="e">
        <f t="shared" si="72"/>
        <v>#DIV/0!</v>
      </c>
      <c r="D114" s="83" t="e">
        <f t="shared" si="72"/>
        <v>#DIV/0!</v>
      </c>
      <c r="E114" s="83" t="e">
        <f t="shared" si="72"/>
        <v>#DIV/0!</v>
      </c>
      <c r="F114" s="83" t="e">
        <f t="shared" si="72"/>
        <v>#DIV/0!</v>
      </c>
      <c r="G114" s="83" t="e">
        <f t="shared" si="72"/>
        <v>#DIV/0!</v>
      </c>
      <c r="H114" s="83" t="e">
        <f t="shared" si="72"/>
        <v>#DIV/0!</v>
      </c>
    </row>
  </sheetData>
  <mergeCells count="3">
    <mergeCell ref="A4:H4"/>
    <mergeCell ref="A1:H1"/>
    <mergeCell ref="A2:D2"/>
  </mergeCells>
  <phoneticPr fontId="17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BC114"/>
  <sheetViews>
    <sheetView topLeftCell="A4" zoomScale="85" zoomScaleNormal="85" workbookViewId="0">
      <selection activeCell="AB13" sqref="AB13:AH14"/>
    </sheetView>
  </sheetViews>
  <sheetFormatPr defaultRowHeight="13.2"/>
  <cols>
    <col min="1" max="1" width="13.33203125" customWidth="1"/>
    <col min="5" max="6" width="7.33203125" customWidth="1"/>
    <col min="7" max="7" width="7.5546875" customWidth="1"/>
    <col min="8" max="8" width="7.109375" customWidth="1"/>
    <col min="9" max="9" width="5.88671875" customWidth="1"/>
    <col min="11" max="11" width="7.5546875" customWidth="1"/>
    <col min="14" max="14" width="6.6640625" customWidth="1"/>
    <col min="15" max="15" width="8.33203125" customWidth="1"/>
    <col min="16" max="16" width="6.88671875" customWidth="1"/>
    <col min="17" max="17" width="7.33203125" customWidth="1"/>
    <col min="18" max="18" width="14" customWidth="1"/>
    <col min="19" max="19" width="7.33203125" customWidth="1"/>
    <col min="20" max="20" width="8.109375" customWidth="1"/>
    <col min="21" max="21" width="8" customWidth="1"/>
    <col min="22" max="22" width="5.6640625" customWidth="1"/>
    <col min="23" max="23" width="7.33203125" customWidth="1"/>
    <col min="24" max="24" width="7" customWidth="1"/>
    <col min="25" max="25" width="7.33203125" customWidth="1"/>
    <col min="27" max="27" width="15.109375" customWidth="1"/>
    <col min="28" max="29" width="7.33203125" customWidth="1"/>
    <col min="31" max="31" width="6.5546875" customWidth="1"/>
    <col min="32" max="34" width="7.33203125" customWidth="1"/>
    <col min="35" max="35" width="5.33203125" customWidth="1"/>
    <col min="36" max="36" width="10.109375" customWidth="1"/>
  </cols>
  <sheetData>
    <row r="1" spans="1:55" s="12" customFormat="1" ht="18.75" customHeight="1">
      <c r="A1" s="464" t="s">
        <v>55</v>
      </c>
      <c r="B1" s="464"/>
      <c r="C1" s="464"/>
      <c r="D1" s="464"/>
      <c r="E1" s="464"/>
      <c r="F1" s="464"/>
      <c r="G1" s="464"/>
      <c r="H1" s="464"/>
      <c r="I1" s="203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29.25" customHeight="1">
      <c r="A2" s="221"/>
      <c r="B2" s="221"/>
      <c r="C2" s="221"/>
      <c r="D2" s="221"/>
      <c r="E2" s="465" t="s">
        <v>87</v>
      </c>
      <c r="F2" s="465"/>
      <c r="G2" s="465"/>
      <c r="H2" s="465"/>
      <c r="I2" s="203"/>
    </row>
    <row r="3" spans="1:55" s="37" customFormat="1" ht="33" customHeight="1">
      <c r="A3" s="466" t="s">
        <v>88</v>
      </c>
      <c r="B3" s="466"/>
      <c r="C3" s="466"/>
      <c r="D3" s="466"/>
      <c r="E3" s="466"/>
      <c r="F3" s="466"/>
      <c r="G3" s="466"/>
      <c r="H3" s="466"/>
      <c r="I3" s="203"/>
      <c r="K3" s="40"/>
      <c r="L3" s="12"/>
      <c r="M3" s="12"/>
      <c r="N3" s="12"/>
      <c r="O3" s="12"/>
      <c r="P3" s="12"/>
      <c r="Q3" s="12"/>
    </row>
    <row r="4" spans="1:55" s="37" customFormat="1" ht="15.75" customHeight="1">
      <c r="A4" s="40"/>
      <c r="B4" s="40"/>
      <c r="C4" s="40"/>
      <c r="D4" s="40"/>
      <c r="E4" s="40"/>
      <c r="F4" s="40"/>
      <c r="G4" s="40"/>
      <c r="H4" s="40"/>
      <c r="I4" s="203"/>
      <c r="J4" s="187"/>
      <c r="K4" s="187"/>
      <c r="L4" s="187"/>
      <c r="M4" s="187"/>
      <c r="N4" s="187"/>
      <c r="O4" s="187"/>
      <c r="P4" s="187"/>
      <c r="Q4" s="187"/>
    </row>
    <row r="5" spans="1:55" s="203" customFormat="1" ht="12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55" s="203" customFormat="1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</row>
    <row r="7" spans="1:55" s="203" customFormat="1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6"/>
    </row>
    <row r="8" spans="1:55" s="115" customFormat="1">
      <c r="A8" s="473" t="s">
        <v>17</v>
      </c>
      <c r="B8" s="473"/>
      <c r="C8" s="473"/>
      <c r="D8" s="473"/>
      <c r="E8" s="473"/>
      <c r="F8" s="473"/>
      <c r="G8" s="473"/>
      <c r="H8" s="473"/>
      <c r="I8" s="203"/>
      <c r="J8" s="473" t="s">
        <v>17</v>
      </c>
      <c r="K8" s="473"/>
      <c r="L8" s="473"/>
      <c r="M8" s="473"/>
      <c r="N8" s="473"/>
      <c r="O8" s="473"/>
      <c r="P8" s="473"/>
      <c r="Q8" s="473"/>
      <c r="R8" s="473" t="s">
        <v>17</v>
      </c>
      <c r="S8" s="473"/>
      <c r="T8" s="473"/>
      <c r="U8" s="473"/>
      <c r="V8" s="473"/>
      <c r="W8" s="473"/>
      <c r="X8" s="473"/>
      <c r="Y8" s="473"/>
      <c r="Z8" s="188"/>
      <c r="AA8" s="473" t="s">
        <v>17</v>
      </c>
      <c r="AB8" s="473"/>
      <c r="AC8" s="473"/>
      <c r="AD8" s="473"/>
      <c r="AE8" s="473"/>
      <c r="AF8" s="473"/>
      <c r="AG8" s="473"/>
      <c r="AH8" s="473"/>
      <c r="AI8" s="188"/>
      <c r="AJ8" s="473" t="s">
        <v>17</v>
      </c>
      <c r="AK8" s="473"/>
      <c r="AL8" s="473"/>
      <c r="AM8" s="473"/>
      <c r="AN8" s="473"/>
      <c r="AO8" s="473"/>
      <c r="AP8" s="473"/>
      <c r="AQ8" s="473"/>
    </row>
    <row r="9" spans="1:55" s="115" customFormat="1">
      <c r="A9" s="33" t="s">
        <v>18</v>
      </c>
      <c r="B9" s="42">
        <f t="shared" ref="B9:H10" si="0">B13+B20</f>
        <v>821.4</v>
      </c>
      <c r="C9" s="33">
        <f t="shared" si="0"/>
        <v>44066</v>
      </c>
      <c r="D9" s="33">
        <f>D13+D20</f>
        <v>37040</v>
      </c>
      <c r="E9" s="33">
        <f t="shared" si="0"/>
        <v>9237</v>
      </c>
      <c r="F9" s="33">
        <f t="shared" si="0"/>
        <v>9389</v>
      </c>
      <c r="G9" s="33">
        <f>G13+G20</f>
        <v>1632</v>
      </c>
      <c r="H9" s="33">
        <f t="shared" si="0"/>
        <v>16783</v>
      </c>
      <c r="I9" s="203"/>
      <c r="J9" s="33" t="s">
        <v>18</v>
      </c>
      <c r="K9" s="42">
        <f>K13+K20</f>
        <v>224.20000000000002</v>
      </c>
      <c r="L9" s="36">
        <f t="shared" ref="L9:Q10" si="1">L13+L20</f>
        <v>8137</v>
      </c>
      <c r="M9" s="33">
        <f t="shared" si="1"/>
        <v>6418</v>
      </c>
      <c r="N9" s="33">
        <f t="shared" si="1"/>
        <v>1333</v>
      </c>
      <c r="O9" s="33">
        <f t="shared" si="1"/>
        <v>2155</v>
      </c>
      <c r="P9" s="33">
        <f t="shared" si="1"/>
        <v>291</v>
      </c>
      <c r="Q9" s="33">
        <f t="shared" si="1"/>
        <v>2639</v>
      </c>
      <c r="R9" s="33" t="s">
        <v>18</v>
      </c>
      <c r="S9" s="33">
        <f t="shared" ref="S9:Y10" si="2">S13+S20</f>
        <v>496.70000000000005</v>
      </c>
      <c r="T9" s="33">
        <f t="shared" si="2"/>
        <v>35457</v>
      </c>
      <c r="U9" s="33">
        <f>U13+U20</f>
        <v>30445</v>
      </c>
      <c r="V9" s="33">
        <f t="shared" si="2"/>
        <v>7904</v>
      </c>
      <c r="W9" s="33">
        <f t="shared" si="2"/>
        <v>7234</v>
      </c>
      <c r="X9" s="33">
        <f t="shared" si="2"/>
        <v>1341</v>
      </c>
      <c r="Y9" s="33">
        <f t="shared" si="2"/>
        <v>13967</v>
      </c>
      <c r="Z9" s="110"/>
      <c r="AA9" s="33" t="s">
        <v>18</v>
      </c>
      <c r="AB9" s="42">
        <f t="shared" ref="AB9:AH10" si="3">AB13+AB20</f>
        <v>59.900000000000006</v>
      </c>
      <c r="AC9" s="33">
        <f t="shared" si="3"/>
        <v>11839</v>
      </c>
      <c r="AD9" s="33">
        <f t="shared" si="3"/>
        <v>10343</v>
      </c>
      <c r="AE9" s="33">
        <f t="shared" si="3"/>
        <v>6734</v>
      </c>
      <c r="AF9" s="33">
        <f t="shared" si="3"/>
        <v>1792</v>
      </c>
      <c r="AG9" s="33">
        <f t="shared" si="3"/>
        <v>243</v>
      </c>
      <c r="AH9" s="33">
        <f t="shared" si="3"/>
        <v>1574</v>
      </c>
      <c r="AI9" s="110"/>
      <c r="AJ9" s="33" t="s">
        <v>18</v>
      </c>
      <c r="AK9" s="33">
        <f t="shared" ref="AK9:AQ10" si="4">AK13+AK20</f>
        <v>100.5</v>
      </c>
      <c r="AL9" s="33">
        <f t="shared" si="4"/>
        <v>472</v>
      </c>
      <c r="AM9" s="33">
        <f t="shared" si="4"/>
        <v>177</v>
      </c>
      <c r="AN9" s="33">
        <f t="shared" si="4"/>
        <v>0</v>
      </c>
      <c r="AO9" s="33">
        <f t="shared" si="4"/>
        <v>0</v>
      </c>
      <c r="AP9" s="33">
        <f t="shared" si="4"/>
        <v>0</v>
      </c>
      <c r="AQ9" s="33">
        <f t="shared" si="4"/>
        <v>177</v>
      </c>
    </row>
    <row r="10" spans="1:55" s="427" customFormat="1">
      <c r="A10" s="126" t="s">
        <v>19</v>
      </c>
      <c r="B10" s="126">
        <f t="shared" si="0"/>
        <v>747.19999999999993</v>
      </c>
      <c r="C10" s="126">
        <f t="shared" si="0"/>
        <v>40215</v>
      </c>
      <c r="D10" s="126">
        <f>D14+D21</f>
        <v>36749</v>
      </c>
      <c r="E10" s="126">
        <f t="shared" si="0"/>
        <v>7487</v>
      </c>
      <c r="F10" s="126">
        <f t="shared" si="0"/>
        <v>8552</v>
      </c>
      <c r="G10" s="126">
        <f t="shared" si="0"/>
        <v>2221</v>
      </c>
      <c r="H10" s="126">
        <f t="shared" si="0"/>
        <v>18489</v>
      </c>
      <c r="I10" s="260"/>
      <c r="J10" s="126" t="s">
        <v>19</v>
      </c>
      <c r="K10" s="245">
        <f>K14+K21</f>
        <v>243.60000000000002</v>
      </c>
      <c r="L10" s="126">
        <f t="shared" si="1"/>
        <v>9605</v>
      </c>
      <c r="M10" s="126">
        <f t="shared" si="1"/>
        <v>8701</v>
      </c>
      <c r="N10" s="126">
        <f t="shared" si="1"/>
        <v>1781</v>
      </c>
      <c r="O10" s="126">
        <f t="shared" si="1"/>
        <v>1853</v>
      </c>
      <c r="P10" s="126">
        <f t="shared" si="1"/>
        <v>166</v>
      </c>
      <c r="Q10" s="126">
        <f t="shared" si="1"/>
        <v>4901</v>
      </c>
      <c r="R10" s="126" t="s">
        <v>19</v>
      </c>
      <c r="S10" s="245">
        <f t="shared" si="2"/>
        <v>503.59999999999997</v>
      </c>
      <c r="T10" s="126">
        <f t="shared" si="2"/>
        <v>30610</v>
      </c>
      <c r="U10" s="126">
        <f t="shared" si="2"/>
        <v>28038</v>
      </c>
      <c r="V10" s="126">
        <f t="shared" si="2"/>
        <v>5706</v>
      </c>
      <c r="W10" s="126">
        <f t="shared" si="2"/>
        <v>6699</v>
      </c>
      <c r="X10" s="126">
        <f t="shared" si="2"/>
        <v>2055</v>
      </c>
      <c r="Y10" s="126">
        <f t="shared" si="2"/>
        <v>13588</v>
      </c>
      <c r="Z10" s="372"/>
      <c r="AA10" s="126" t="s">
        <v>19</v>
      </c>
      <c r="AB10" s="245">
        <f t="shared" si="3"/>
        <v>40.200000000000003</v>
      </c>
      <c r="AC10" s="126">
        <f t="shared" si="3"/>
        <v>5220</v>
      </c>
      <c r="AD10" s="126">
        <f t="shared" si="3"/>
        <v>4780</v>
      </c>
      <c r="AE10" s="126">
        <f t="shared" si="3"/>
        <v>2790</v>
      </c>
      <c r="AF10" s="126">
        <f t="shared" si="3"/>
        <v>1044</v>
      </c>
      <c r="AG10" s="126">
        <f t="shared" si="3"/>
        <v>268</v>
      </c>
      <c r="AH10" s="126">
        <f t="shared" si="3"/>
        <v>678</v>
      </c>
      <c r="AI10" s="372"/>
      <c r="AJ10" s="126" t="s">
        <v>19</v>
      </c>
      <c r="AK10" s="126">
        <f>AK14+AK21</f>
        <v>0</v>
      </c>
      <c r="AL10" s="126">
        <f t="shared" si="4"/>
        <v>0</v>
      </c>
      <c r="AM10" s="126">
        <f t="shared" si="4"/>
        <v>0</v>
      </c>
      <c r="AN10" s="126">
        <f t="shared" si="4"/>
        <v>0</v>
      </c>
      <c r="AO10" s="126">
        <f t="shared" si="4"/>
        <v>0</v>
      </c>
      <c r="AP10" s="126">
        <f t="shared" si="4"/>
        <v>0</v>
      </c>
      <c r="AQ10" s="126">
        <f t="shared" si="4"/>
        <v>0</v>
      </c>
    </row>
    <row r="11" spans="1:55" s="115" customFormat="1">
      <c r="A11" s="33" t="s">
        <v>20</v>
      </c>
      <c r="B11" s="26">
        <f t="shared" ref="B11:H11" si="5">B10/B9*100</f>
        <v>90.96664231799366</v>
      </c>
      <c r="C11" s="26">
        <f t="shared" si="5"/>
        <v>91.260836018699223</v>
      </c>
      <c r="D11" s="26">
        <f t="shared" si="5"/>
        <v>99.214362850971924</v>
      </c>
      <c r="E11" s="26">
        <f t="shared" si="5"/>
        <v>81.054454909602683</v>
      </c>
      <c r="F11" s="26">
        <f t="shared" si="5"/>
        <v>91.08531259985088</v>
      </c>
      <c r="G11" s="26">
        <f t="shared" si="5"/>
        <v>136.09068627450981</v>
      </c>
      <c r="H11" s="26">
        <f t="shared" si="5"/>
        <v>110.16504796520287</v>
      </c>
      <c r="I11" s="203"/>
      <c r="J11" s="33" t="s">
        <v>20</v>
      </c>
      <c r="K11" s="26">
        <f t="shared" ref="K11:Q11" si="6">K10/K9*100</f>
        <v>108.65298840321142</v>
      </c>
      <c r="L11" s="26">
        <f t="shared" si="6"/>
        <v>118.04104706894434</v>
      </c>
      <c r="M11" s="26">
        <f t="shared" si="6"/>
        <v>135.57182923028981</v>
      </c>
      <c r="N11" s="26">
        <f t="shared" si="6"/>
        <v>133.60840210052513</v>
      </c>
      <c r="O11" s="26">
        <f t="shared" si="6"/>
        <v>85.986078886310906</v>
      </c>
      <c r="P11" s="26">
        <f t="shared" si="6"/>
        <v>57.044673539518897</v>
      </c>
      <c r="Q11" s="26">
        <f t="shared" si="6"/>
        <v>185.71428571428572</v>
      </c>
      <c r="R11" s="33" t="s">
        <v>20</v>
      </c>
      <c r="S11" s="26">
        <f t="shared" ref="S11:Y11" si="7">S10/S9*100</f>
        <v>101.38916851218039</v>
      </c>
      <c r="T11" s="26">
        <f t="shared" si="7"/>
        <v>86.329920749076351</v>
      </c>
      <c r="U11" s="26">
        <f t="shared" si="7"/>
        <v>92.093939891607818</v>
      </c>
      <c r="V11" s="26">
        <f t="shared" si="7"/>
        <v>72.191295546558706</v>
      </c>
      <c r="W11" s="26">
        <f t="shared" si="7"/>
        <v>92.604368260989773</v>
      </c>
      <c r="X11" s="26">
        <f t="shared" si="7"/>
        <v>153.24384787472036</v>
      </c>
      <c r="Y11" s="26">
        <f t="shared" si="7"/>
        <v>97.286460943652898</v>
      </c>
      <c r="Z11" s="113"/>
      <c r="AA11" s="33" t="s">
        <v>20</v>
      </c>
      <c r="AB11" s="26">
        <f t="shared" ref="AB11:AH11" si="8">AB10/AB9*100</f>
        <v>67.1118530884808</v>
      </c>
      <c r="AC11" s="26">
        <f t="shared" si="8"/>
        <v>44.091561787313118</v>
      </c>
      <c r="AD11" s="26">
        <f t="shared" si="8"/>
        <v>46.214831286860679</v>
      </c>
      <c r="AE11" s="26">
        <f t="shared" si="8"/>
        <v>41.431541431541433</v>
      </c>
      <c r="AF11" s="26">
        <f t="shared" si="8"/>
        <v>58.258928571428569</v>
      </c>
      <c r="AG11" s="26">
        <f t="shared" si="8"/>
        <v>110.28806584362141</v>
      </c>
      <c r="AH11" s="26">
        <f t="shared" si="8"/>
        <v>43.07496823379924</v>
      </c>
      <c r="AI11" s="113"/>
      <c r="AJ11" s="33" t="s">
        <v>20</v>
      </c>
      <c r="AK11" s="26">
        <f>AK10/AK9*100</f>
        <v>0</v>
      </c>
      <c r="AL11" s="26">
        <f>AL10/AL9*100</f>
        <v>0</v>
      </c>
      <c r="AM11" s="26">
        <f>AM10/AM9*100</f>
        <v>0</v>
      </c>
      <c r="AN11" s="26">
        <v>0</v>
      </c>
      <c r="AO11" s="26" t="e">
        <f>AO10/AO9*100</f>
        <v>#DIV/0!</v>
      </c>
      <c r="AP11" s="26" t="e">
        <f>AP10/AP9*100</f>
        <v>#DIV/0!</v>
      </c>
      <c r="AQ11" s="26">
        <f>AQ10/AQ9*100</f>
        <v>0</v>
      </c>
    </row>
    <row r="12" spans="1:55" s="203" customFormat="1" ht="12.75" customHeight="1">
      <c r="A12" s="476" t="s">
        <v>11</v>
      </c>
      <c r="B12" s="514"/>
      <c r="C12" s="514"/>
      <c r="D12" s="514"/>
      <c r="E12" s="514"/>
      <c r="F12" s="514"/>
      <c r="G12" s="514"/>
      <c r="H12" s="514"/>
      <c r="J12" s="476" t="s">
        <v>11</v>
      </c>
      <c r="K12" s="476"/>
      <c r="L12" s="476"/>
      <c r="M12" s="476"/>
      <c r="N12" s="476"/>
      <c r="O12" s="476"/>
      <c r="P12" s="476"/>
      <c r="Q12" s="476"/>
      <c r="R12" s="476" t="s">
        <v>11</v>
      </c>
      <c r="S12" s="476"/>
      <c r="T12" s="476"/>
      <c r="U12" s="476"/>
      <c r="V12" s="476"/>
      <c r="W12" s="476"/>
      <c r="X12" s="476"/>
      <c r="Y12" s="476"/>
      <c r="Z12" s="302"/>
      <c r="AA12" s="476" t="s">
        <v>11</v>
      </c>
      <c r="AB12" s="476"/>
      <c r="AC12" s="476"/>
      <c r="AD12" s="476"/>
      <c r="AE12" s="476"/>
      <c r="AF12" s="476"/>
      <c r="AG12" s="476"/>
      <c r="AH12" s="476"/>
      <c r="AI12" s="302"/>
      <c r="AJ12" s="476" t="s">
        <v>11</v>
      </c>
      <c r="AK12" s="476"/>
      <c r="AL12" s="476"/>
      <c r="AM12" s="476"/>
      <c r="AN12" s="476"/>
      <c r="AO12" s="476"/>
      <c r="AP12" s="476"/>
      <c r="AQ12" s="476"/>
    </row>
    <row r="13" spans="1:55" s="203" customFormat="1">
      <c r="A13" s="244" t="s">
        <v>18</v>
      </c>
      <c r="B13" s="6">
        <f>K13+S13+AK13</f>
        <v>65</v>
      </c>
      <c r="C13" s="6">
        <f>L13+T13+AL13</f>
        <v>3616</v>
      </c>
      <c r="D13" s="6">
        <f>E13+F13+G13+H13</f>
        <v>2646</v>
      </c>
      <c r="E13" s="6">
        <f t="shared" ref="E13:H14" si="9">N13+V13+AN13</f>
        <v>901</v>
      </c>
      <c r="F13" s="6">
        <f t="shared" si="9"/>
        <v>923</v>
      </c>
      <c r="G13" s="6">
        <f t="shared" si="9"/>
        <v>103</v>
      </c>
      <c r="H13" s="6">
        <f t="shared" si="9"/>
        <v>719</v>
      </c>
      <c r="J13" s="244" t="s">
        <v>18</v>
      </c>
      <c r="K13" s="6">
        <v>49</v>
      </c>
      <c r="L13" s="6">
        <v>2367</v>
      </c>
      <c r="M13" s="6">
        <v>1708</v>
      </c>
      <c r="N13" s="6">
        <v>479</v>
      </c>
      <c r="O13" s="6">
        <v>722</v>
      </c>
      <c r="P13" s="6">
        <v>76</v>
      </c>
      <c r="Q13" s="6">
        <v>431</v>
      </c>
      <c r="R13" s="244" t="s">
        <v>18</v>
      </c>
      <c r="S13" s="6">
        <v>16</v>
      </c>
      <c r="T13" s="6">
        <v>1249</v>
      </c>
      <c r="U13" s="6">
        <v>938</v>
      </c>
      <c r="V13" s="6">
        <v>422</v>
      </c>
      <c r="W13" s="6">
        <v>201</v>
      </c>
      <c r="X13" s="6">
        <v>27</v>
      </c>
      <c r="Y13" s="6">
        <v>288</v>
      </c>
      <c r="Z13" s="1"/>
      <c r="AA13" s="244" t="s">
        <v>18</v>
      </c>
      <c r="AB13" s="6">
        <v>16</v>
      </c>
      <c r="AC13" s="6">
        <v>1249</v>
      </c>
      <c r="AD13" s="6">
        <v>938</v>
      </c>
      <c r="AE13" s="6">
        <v>422</v>
      </c>
      <c r="AF13" s="6">
        <v>201</v>
      </c>
      <c r="AG13" s="6">
        <v>27</v>
      </c>
      <c r="AH13" s="6">
        <v>288</v>
      </c>
      <c r="AI13" s="1"/>
      <c r="AJ13" s="244" t="s">
        <v>18</v>
      </c>
      <c r="AK13" s="6"/>
      <c r="AL13" s="6"/>
      <c r="AM13" s="6"/>
      <c r="AN13" s="6"/>
      <c r="AO13" s="6"/>
      <c r="AP13" s="6"/>
      <c r="AQ13" s="6"/>
    </row>
    <row r="14" spans="1:55" s="260" customFormat="1">
      <c r="A14" s="247" t="s">
        <v>19</v>
      </c>
      <c r="B14" s="246">
        <f>K14+S14+AK14</f>
        <v>78.599999999999994</v>
      </c>
      <c r="C14" s="246">
        <f>L14+T14+AL14</f>
        <v>4240</v>
      </c>
      <c r="D14" s="246">
        <f>E14+F14+G14+H14</f>
        <v>3563</v>
      </c>
      <c r="E14" s="246">
        <f t="shared" si="9"/>
        <v>905</v>
      </c>
      <c r="F14" s="246">
        <f t="shared" si="9"/>
        <v>746</v>
      </c>
      <c r="G14" s="246">
        <f t="shared" si="9"/>
        <v>33</v>
      </c>
      <c r="H14" s="246">
        <f t="shared" si="9"/>
        <v>1879</v>
      </c>
      <c r="J14" s="247" t="s">
        <v>19</v>
      </c>
      <c r="K14" s="246">
        <v>55.2</v>
      </c>
      <c r="L14" s="246">
        <v>2870</v>
      </c>
      <c r="M14" s="246">
        <v>2509</v>
      </c>
      <c r="N14" s="246">
        <v>569</v>
      </c>
      <c r="O14" s="246">
        <v>444</v>
      </c>
      <c r="P14" s="246">
        <v>11</v>
      </c>
      <c r="Q14" s="246">
        <v>1485</v>
      </c>
      <c r="R14" s="247" t="s">
        <v>19</v>
      </c>
      <c r="S14" s="246">
        <v>23.4</v>
      </c>
      <c r="T14" s="246">
        <v>1370</v>
      </c>
      <c r="U14" s="246">
        <v>1054</v>
      </c>
      <c r="V14" s="246">
        <v>336</v>
      </c>
      <c r="W14" s="246">
        <v>302</v>
      </c>
      <c r="X14" s="246">
        <v>22</v>
      </c>
      <c r="Y14" s="246">
        <v>394</v>
      </c>
      <c r="Z14" s="373"/>
      <c r="AA14" s="247" t="s">
        <v>19</v>
      </c>
      <c r="AB14" s="246">
        <v>23.4</v>
      </c>
      <c r="AC14" s="246">
        <v>1370</v>
      </c>
      <c r="AD14" s="246">
        <v>1054</v>
      </c>
      <c r="AE14" s="246">
        <v>336</v>
      </c>
      <c r="AF14" s="246">
        <v>302</v>
      </c>
      <c r="AG14" s="246">
        <v>22</v>
      </c>
      <c r="AH14" s="246">
        <v>394</v>
      </c>
      <c r="AI14" s="373"/>
      <c r="AJ14" s="247" t="s">
        <v>19</v>
      </c>
      <c r="AK14" s="246"/>
      <c r="AL14" s="246"/>
      <c r="AM14" s="246"/>
      <c r="AN14" s="246"/>
      <c r="AO14" s="246"/>
      <c r="AP14" s="246"/>
      <c r="AQ14" s="246"/>
    </row>
    <row r="15" spans="1:55" s="203" customFormat="1">
      <c r="A15" s="244" t="s">
        <v>20</v>
      </c>
      <c r="B15" s="26">
        <f t="shared" ref="B15:H15" si="10">B14/B13*100</f>
        <v>120.92307692307691</v>
      </c>
      <c r="C15" s="26">
        <f t="shared" si="10"/>
        <v>117.25663716814158</v>
      </c>
      <c r="D15" s="26">
        <f t="shared" si="10"/>
        <v>134.65608465608466</v>
      </c>
      <c r="E15" s="26">
        <f t="shared" si="10"/>
        <v>100.44395116537181</v>
      </c>
      <c r="F15" s="26">
        <f t="shared" si="10"/>
        <v>80.823401950162506</v>
      </c>
      <c r="G15" s="26">
        <f t="shared" si="10"/>
        <v>32.038834951456316</v>
      </c>
      <c r="H15" s="26">
        <f t="shared" si="10"/>
        <v>261.33518776077887</v>
      </c>
      <c r="J15" s="244" t="s">
        <v>20</v>
      </c>
      <c r="K15" s="26">
        <f t="shared" ref="K15:Q15" si="11">K14/K13*100</f>
        <v>112.65306122448979</v>
      </c>
      <c r="L15" s="26">
        <f t="shared" si="11"/>
        <v>121.25052809463457</v>
      </c>
      <c r="M15" s="26">
        <f t="shared" si="11"/>
        <v>146.89695550351288</v>
      </c>
      <c r="N15" s="26">
        <f t="shared" si="11"/>
        <v>118.78914405010438</v>
      </c>
      <c r="O15" s="26">
        <f t="shared" si="11"/>
        <v>61.495844875346265</v>
      </c>
      <c r="P15" s="26">
        <f t="shared" si="11"/>
        <v>14.473684210526317</v>
      </c>
      <c r="Q15" s="26">
        <f t="shared" si="11"/>
        <v>344.5475638051044</v>
      </c>
      <c r="R15" s="244" t="s">
        <v>20</v>
      </c>
      <c r="S15" s="26">
        <f t="shared" ref="S15:Y15" si="12">S14/S13*100</f>
        <v>146.25</v>
      </c>
      <c r="T15" s="26">
        <f t="shared" si="12"/>
        <v>109.68775020016012</v>
      </c>
      <c r="U15" s="26">
        <f t="shared" si="12"/>
        <v>112.36673773987206</v>
      </c>
      <c r="V15" s="26">
        <f t="shared" si="12"/>
        <v>79.620853080568722</v>
      </c>
      <c r="W15" s="26">
        <f t="shared" si="12"/>
        <v>150.24875621890547</v>
      </c>
      <c r="X15" s="26">
        <f t="shared" si="12"/>
        <v>81.481481481481481</v>
      </c>
      <c r="Y15" s="26">
        <f t="shared" si="12"/>
        <v>136.80555555555557</v>
      </c>
      <c r="Z15" s="113"/>
      <c r="AA15" s="244" t="s">
        <v>20</v>
      </c>
      <c r="AB15" s="26">
        <f t="shared" ref="AB15:AH15" si="13">AB14/AB13*100</f>
        <v>146.25</v>
      </c>
      <c r="AC15" s="26">
        <f t="shared" si="13"/>
        <v>109.68775020016012</v>
      </c>
      <c r="AD15" s="26">
        <f t="shared" si="13"/>
        <v>112.36673773987206</v>
      </c>
      <c r="AE15" s="26">
        <f t="shared" si="13"/>
        <v>79.620853080568722</v>
      </c>
      <c r="AF15" s="26">
        <f t="shared" si="13"/>
        <v>150.24875621890547</v>
      </c>
      <c r="AG15" s="26">
        <f t="shared" si="13"/>
        <v>81.481481481481481</v>
      </c>
      <c r="AH15" s="26">
        <f t="shared" si="13"/>
        <v>136.80555555555557</v>
      </c>
      <c r="AI15" s="113"/>
      <c r="AJ15" s="244" t="s">
        <v>20</v>
      </c>
      <c r="AK15" s="26" t="e">
        <f>AK14/AK13*100</f>
        <v>#DIV/0!</v>
      </c>
      <c r="AL15" s="26" t="e">
        <f>AL14/AL13*100</f>
        <v>#DIV/0!</v>
      </c>
      <c r="AM15" s="26" t="e">
        <f>AM14/AM13*100</f>
        <v>#DIV/0!</v>
      </c>
      <c r="AN15" s="26">
        <v>0</v>
      </c>
      <c r="AO15" s="26" t="e">
        <f>AO14/AO13*100</f>
        <v>#DIV/0!</v>
      </c>
      <c r="AP15" s="26" t="e">
        <f>AP14/AP13*100</f>
        <v>#DIV/0!</v>
      </c>
      <c r="AQ15" s="26" t="e">
        <f>AQ14/AQ13*100</f>
        <v>#DIV/0!</v>
      </c>
    </row>
    <row r="16" spans="1:55" s="227" customFormat="1">
      <c r="A16" s="261" t="s">
        <v>13</v>
      </c>
      <c r="B16" s="261">
        <f t="shared" ref="B16:C18" si="14">K16+S16+AK16</f>
        <v>0</v>
      </c>
      <c r="C16" s="261">
        <f t="shared" si="14"/>
        <v>0</v>
      </c>
      <c r="D16" s="261">
        <f>E16+F16+G16+H16</f>
        <v>0</v>
      </c>
      <c r="E16" s="261">
        <f t="shared" ref="E16:H18" si="15">N16+V16+AN16</f>
        <v>0</v>
      </c>
      <c r="F16" s="261">
        <f t="shared" si="15"/>
        <v>0</v>
      </c>
      <c r="G16" s="261">
        <f t="shared" si="15"/>
        <v>0</v>
      </c>
      <c r="H16" s="261">
        <f t="shared" si="15"/>
        <v>0</v>
      </c>
      <c r="J16" s="261" t="s">
        <v>13</v>
      </c>
      <c r="K16" s="262"/>
      <c r="L16" s="263"/>
      <c r="M16" s="264"/>
      <c r="N16" s="265"/>
      <c r="O16" s="265"/>
      <c r="P16" s="265"/>
      <c r="Q16" s="263"/>
      <c r="R16" s="261" t="s">
        <v>13</v>
      </c>
      <c r="S16" s="261"/>
      <c r="T16" s="261"/>
      <c r="U16" s="261"/>
      <c r="V16" s="261"/>
      <c r="W16" s="261"/>
      <c r="X16" s="261"/>
      <c r="Y16" s="261"/>
      <c r="Z16" s="374"/>
      <c r="AA16" s="261" t="s">
        <v>13</v>
      </c>
      <c r="AB16" s="261"/>
      <c r="AC16" s="261"/>
      <c r="AD16" s="261"/>
      <c r="AE16" s="261"/>
      <c r="AF16" s="261"/>
      <c r="AG16" s="261"/>
      <c r="AH16" s="261"/>
      <c r="AI16" s="374"/>
      <c r="AJ16" s="261" t="s">
        <v>13</v>
      </c>
      <c r="AK16" s="261"/>
      <c r="AL16" s="261"/>
      <c r="AM16" s="261">
        <f>AN16+AO16+AP16+AQ16</f>
        <v>0</v>
      </c>
      <c r="AN16" s="261"/>
      <c r="AO16" s="261"/>
      <c r="AP16" s="261"/>
      <c r="AQ16" s="261"/>
    </row>
    <row r="17" spans="1:43" s="227" customFormat="1">
      <c r="A17" s="261" t="s">
        <v>14</v>
      </c>
      <c r="B17" s="261">
        <f t="shared" si="14"/>
        <v>0</v>
      </c>
      <c r="C17" s="261">
        <f t="shared" si="14"/>
        <v>0</v>
      </c>
      <c r="D17" s="261">
        <f>E17+F17+G17+H17</f>
        <v>0</v>
      </c>
      <c r="E17" s="261">
        <f t="shared" si="15"/>
        <v>0</v>
      </c>
      <c r="F17" s="261">
        <f t="shared" si="15"/>
        <v>0</v>
      </c>
      <c r="G17" s="261">
        <f t="shared" si="15"/>
        <v>0</v>
      </c>
      <c r="H17" s="261">
        <f t="shared" si="15"/>
        <v>0</v>
      </c>
      <c r="J17" s="261" t="s">
        <v>14</v>
      </c>
      <c r="K17" s="262"/>
      <c r="L17" s="263"/>
      <c r="M17" s="264"/>
      <c r="N17" s="265"/>
      <c r="O17" s="265"/>
      <c r="P17" s="265"/>
      <c r="Q17" s="263"/>
      <c r="R17" s="261" t="s">
        <v>14</v>
      </c>
      <c r="S17" s="261"/>
      <c r="T17" s="261"/>
      <c r="U17" s="261"/>
      <c r="V17" s="261"/>
      <c r="W17" s="261"/>
      <c r="X17" s="261"/>
      <c r="Y17" s="261"/>
      <c r="Z17" s="374"/>
      <c r="AA17" s="261" t="s">
        <v>14</v>
      </c>
      <c r="AB17" s="261"/>
      <c r="AC17" s="261"/>
      <c r="AD17" s="261"/>
      <c r="AE17" s="261"/>
      <c r="AF17" s="261"/>
      <c r="AG17" s="261"/>
      <c r="AH17" s="261"/>
      <c r="AI17" s="374"/>
      <c r="AJ17" s="261" t="s">
        <v>14</v>
      </c>
      <c r="AK17" s="261"/>
      <c r="AL17" s="261"/>
      <c r="AM17" s="261"/>
      <c r="AN17" s="261"/>
      <c r="AO17" s="261"/>
      <c r="AP17" s="261"/>
      <c r="AQ17" s="261"/>
    </row>
    <row r="18" spans="1:43" s="203" customFormat="1">
      <c r="A18" s="6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6">
        <f t="shared" si="15"/>
        <v>0</v>
      </c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s="203" customFormat="1" ht="12.75" customHeight="1">
      <c r="A19" s="476" t="s">
        <v>16</v>
      </c>
      <c r="B19" s="514"/>
      <c r="C19" s="514"/>
      <c r="D19" s="514"/>
      <c r="E19" s="514"/>
      <c r="F19" s="514"/>
      <c r="G19" s="514"/>
      <c r="H19" s="514"/>
      <c r="J19" s="476" t="s">
        <v>16</v>
      </c>
      <c r="K19" s="476"/>
      <c r="L19" s="476"/>
      <c r="M19" s="476"/>
      <c r="N19" s="476"/>
      <c r="O19" s="476"/>
      <c r="P19" s="476"/>
      <c r="Q19" s="476"/>
      <c r="R19" s="476" t="s">
        <v>16</v>
      </c>
      <c r="S19" s="476"/>
      <c r="T19" s="476"/>
      <c r="U19" s="476"/>
      <c r="V19" s="476"/>
      <c r="W19" s="476"/>
      <c r="X19" s="476"/>
      <c r="Y19" s="476"/>
      <c r="Z19" s="302"/>
      <c r="AA19" s="476" t="s">
        <v>16</v>
      </c>
      <c r="AB19" s="476"/>
      <c r="AC19" s="476"/>
      <c r="AD19" s="476"/>
      <c r="AE19" s="476"/>
      <c r="AF19" s="476"/>
      <c r="AG19" s="476"/>
      <c r="AH19" s="476"/>
      <c r="AI19" s="302"/>
      <c r="AJ19" s="476" t="s">
        <v>16</v>
      </c>
      <c r="AK19" s="476"/>
      <c r="AL19" s="476"/>
      <c r="AM19" s="476"/>
      <c r="AN19" s="476"/>
      <c r="AO19" s="476"/>
      <c r="AP19" s="476"/>
      <c r="AQ19" s="476"/>
    </row>
    <row r="20" spans="1:43" s="203" customFormat="1">
      <c r="A20" s="244" t="s">
        <v>18</v>
      </c>
      <c r="B20" s="27">
        <f>B23+B26+B29+B32+B35+B38</f>
        <v>756.4</v>
      </c>
      <c r="C20" s="6">
        <f t="shared" ref="C20:H20" si="16">L20+T20+AL20</f>
        <v>40450</v>
      </c>
      <c r="D20" s="26">
        <f t="shared" si="16"/>
        <v>34394</v>
      </c>
      <c r="E20" s="6">
        <f t="shared" si="16"/>
        <v>8336</v>
      </c>
      <c r="F20" s="6">
        <f t="shared" si="16"/>
        <v>8466</v>
      </c>
      <c r="G20" s="6">
        <f t="shared" si="16"/>
        <v>1529</v>
      </c>
      <c r="H20" s="6">
        <f t="shared" si="16"/>
        <v>16064</v>
      </c>
      <c r="J20" s="244" t="s">
        <v>18</v>
      </c>
      <c r="K20" s="27">
        <f>K23+K26+K29+K32+K35+K38</f>
        <v>175.20000000000002</v>
      </c>
      <c r="L20" s="26">
        <f>L23+L26+L29+L32+L35+L38</f>
        <v>5770</v>
      </c>
      <c r="M20" s="26">
        <f t="shared" ref="L20:Q21" si="17">M23+M26+M29+M32+M35+M38</f>
        <v>4710</v>
      </c>
      <c r="N20" s="26">
        <f t="shared" si="17"/>
        <v>854</v>
      </c>
      <c r="O20" s="26">
        <f t="shared" si="17"/>
        <v>1433</v>
      </c>
      <c r="P20" s="26">
        <f t="shared" si="17"/>
        <v>215</v>
      </c>
      <c r="Q20" s="26">
        <f t="shared" si="17"/>
        <v>2208</v>
      </c>
      <c r="R20" s="244" t="s">
        <v>18</v>
      </c>
      <c r="S20" s="27">
        <f t="shared" ref="S20:Y21" si="18">S23+S26+S29+S32+S35+S38</f>
        <v>480.70000000000005</v>
      </c>
      <c r="T20" s="6">
        <f>T23+T26+T29+T32+T35+T38</f>
        <v>34208</v>
      </c>
      <c r="U20" s="6">
        <f>U23+U26+U29+U32+U35+U38</f>
        <v>29507</v>
      </c>
      <c r="V20" s="6">
        <f t="shared" si="18"/>
        <v>7482</v>
      </c>
      <c r="W20" s="6">
        <f t="shared" si="18"/>
        <v>7033</v>
      </c>
      <c r="X20" s="6">
        <f t="shared" si="18"/>
        <v>1314</v>
      </c>
      <c r="Y20" s="6">
        <f t="shared" si="18"/>
        <v>13679</v>
      </c>
      <c r="Z20" s="1"/>
      <c r="AA20" s="244" t="s">
        <v>18</v>
      </c>
      <c r="AB20" s="27">
        <f t="shared" ref="AB20:AH21" si="19">AB23+AB26+AB29+AB32+AB35+AB38</f>
        <v>43.900000000000006</v>
      </c>
      <c r="AC20" s="27">
        <f t="shared" si="19"/>
        <v>10590</v>
      </c>
      <c r="AD20" s="27">
        <f t="shared" si="19"/>
        <v>9405</v>
      </c>
      <c r="AE20" s="27">
        <f t="shared" si="19"/>
        <v>6312</v>
      </c>
      <c r="AF20" s="27">
        <f t="shared" si="19"/>
        <v>1591</v>
      </c>
      <c r="AG20" s="27">
        <f t="shared" si="19"/>
        <v>216</v>
      </c>
      <c r="AH20" s="27">
        <f t="shared" si="19"/>
        <v>1286</v>
      </c>
      <c r="AI20" s="1"/>
      <c r="AJ20" s="244" t="s">
        <v>18</v>
      </c>
      <c r="AK20" s="6">
        <f>AK23+AK26+AK29+AK32+AK35+AK38</f>
        <v>100.5</v>
      </c>
      <c r="AL20" s="6">
        <f t="shared" ref="AK20:AQ21" si="20">AL23+AL26+AL29+AL32+AL35+AL38</f>
        <v>472</v>
      </c>
      <c r="AM20" s="6">
        <f t="shared" si="20"/>
        <v>177</v>
      </c>
      <c r="AN20" s="6">
        <f t="shared" si="20"/>
        <v>0</v>
      </c>
      <c r="AO20" s="6">
        <f t="shared" si="20"/>
        <v>0</v>
      </c>
      <c r="AP20" s="6">
        <f t="shared" si="20"/>
        <v>0</v>
      </c>
      <c r="AQ20" s="6">
        <f t="shared" si="20"/>
        <v>177</v>
      </c>
    </row>
    <row r="21" spans="1:43" s="260" customFormat="1">
      <c r="A21" s="247" t="s">
        <v>19</v>
      </c>
      <c r="B21" s="248">
        <f>B24+B27+B30+B33+B36+B39</f>
        <v>668.59999999999991</v>
      </c>
      <c r="C21" s="246">
        <f t="shared" ref="C21:H21" si="21">C24+C27+C30+C33+C36+C39</f>
        <v>35975</v>
      </c>
      <c r="D21" s="246">
        <f>D24+D27+D30+D33+D36+D39</f>
        <v>33186</v>
      </c>
      <c r="E21" s="246">
        <f t="shared" si="21"/>
        <v>6582</v>
      </c>
      <c r="F21" s="246">
        <f t="shared" si="21"/>
        <v>7806</v>
      </c>
      <c r="G21" s="246">
        <f t="shared" si="21"/>
        <v>2188</v>
      </c>
      <c r="H21" s="246">
        <f t="shared" si="21"/>
        <v>16610</v>
      </c>
      <c r="J21" s="247" t="s">
        <v>19</v>
      </c>
      <c r="K21" s="248">
        <f>K24+K27+K30+K33+K36+K39</f>
        <v>188.4</v>
      </c>
      <c r="L21" s="246">
        <f t="shared" si="17"/>
        <v>6735</v>
      </c>
      <c r="M21" s="246">
        <f t="shared" si="17"/>
        <v>6192</v>
      </c>
      <c r="N21" s="246">
        <f t="shared" si="17"/>
        <v>1212</v>
      </c>
      <c r="O21" s="246">
        <f t="shared" si="17"/>
        <v>1409</v>
      </c>
      <c r="P21" s="246">
        <f t="shared" si="17"/>
        <v>155</v>
      </c>
      <c r="Q21" s="246">
        <f t="shared" si="17"/>
        <v>3416</v>
      </c>
      <c r="R21" s="247" t="s">
        <v>19</v>
      </c>
      <c r="S21" s="248">
        <f>S24+S27+S30+S33+S36+S39</f>
        <v>480.2</v>
      </c>
      <c r="T21" s="246">
        <f t="shared" si="18"/>
        <v>29240</v>
      </c>
      <c r="U21" s="246">
        <f>U24+U27+U30+U33+U36+U39</f>
        <v>26984</v>
      </c>
      <c r="V21" s="246">
        <f t="shared" si="18"/>
        <v>5370</v>
      </c>
      <c r="W21" s="246">
        <f t="shared" si="18"/>
        <v>6397</v>
      </c>
      <c r="X21" s="246">
        <f t="shared" si="18"/>
        <v>2033</v>
      </c>
      <c r="Y21" s="246">
        <f t="shared" si="18"/>
        <v>13194</v>
      </c>
      <c r="Z21" s="373"/>
      <c r="AA21" s="247" t="s">
        <v>19</v>
      </c>
      <c r="AB21" s="248">
        <f t="shared" si="19"/>
        <v>16.8</v>
      </c>
      <c r="AC21" s="246">
        <f t="shared" si="19"/>
        <v>3850</v>
      </c>
      <c r="AD21" s="246">
        <f t="shared" si="19"/>
        <v>3726</v>
      </c>
      <c r="AE21" s="246">
        <f t="shared" si="19"/>
        <v>2454</v>
      </c>
      <c r="AF21" s="246">
        <f t="shared" si="19"/>
        <v>742</v>
      </c>
      <c r="AG21" s="246">
        <f t="shared" si="19"/>
        <v>246</v>
      </c>
      <c r="AH21" s="246">
        <f t="shared" si="19"/>
        <v>284</v>
      </c>
      <c r="AI21" s="373"/>
      <c r="AJ21" s="247" t="s">
        <v>19</v>
      </c>
      <c r="AK21" s="246">
        <f t="shared" si="20"/>
        <v>0</v>
      </c>
      <c r="AL21" s="246">
        <f t="shared" si="20"/>
        <v>0</v>
      </c>
      <c r="AM21" s="246">
        <f t="shared" si="20"/>
        <v>0</v>
      </c>
      <c r="AN21" s="246">
        <f t="shared" si="20"/>
        <v>0</v>
      </c>
      <c r="AO21" s="246">
        <f t="shared" si="20"/>
        <v>0</v>
      </c>
      <c r="AP21" s="246">
        <f t="shared" si="20"/>
        <v>0</v>
      </c>
      <c r="AQ21" s="246">
        <f t="shared" si="20"/>
        <v>0</v>
      </c>
    </row>
    <row r="22" spans="1:43" s="203" customFormat="1">
      <c r="A22" s="244" t="s">
        <v>20</v>
      </c>
      <c r="B22" s="26">
        <f t="shared" ref="B22:H22" si="22">B21/B20*100</f>
        <v>88.392384981491261</v>
      </c>
      <c r="C22" s="26">
        <f t="shared" si="22"/>
        <v>88.936959208899879</v>
      </c>
      <c r="D22" s="26">
        <f t="shared" si="22"/>
        <v>96.487759492934813</v>
      </c>
      <c r="E22" s="26">
        <f t="shared" si="22"/>
        <v>78.958733205374273</v>
      </c>
      <c r="F22" s="26">
        <f t="shared" si="22"/>
        <v>92.204110559886615</v>
      </c>
      <c r="G22" s="26">
        <f t="shared" si="22"/>
        <v>143.10006540222369</v>
      </c>
      <c r="H22" s="26">
        <f t="shared" si="22"/>
        <v>103.39890438247012</v>
      </c>
      <c r="J22" s="244" t="s">
        <v>20</v>
      </c>
      <c r="K22" s="26">
        <f t="shared" ref="K22:Q22" si="23">K21/K20*100</f>
        <v>107.53424657534245</v>
      </c>
      <c r="L22" s="26">
        <f t="shared" si="23"/>
        <v>116.72443674176776</v>
      </c>
      <c r="M22" s="26">
        <f t="shared" si="23"/>
        <v>131.46496815286625</v>
      </c>
      <c r="N22" s="26">
        <f t="shared" si="23"/>
        <v>141.92037470725995</v>
      </c>
      <c r="O22" s="26">
        <f t="shared" si="23"/>
        <v>98.325191905094215</v>
      </c>
      <c r="P22" s="26">
        <f t="shared" si="23"/>
        <v>72.093023255813947</v>
      </c>
      <c r="Q22" s="26">
        <f t="shared" si="23"/>
        <v>154.71014492753622</v>
      </c>
      <c r="R22" s="244" t="s">
        <v>20</v>
      </c>
      <c r="S22" s="26">
        <f t="shared" ref="S22:Y22" si="24">S21/S20*100</f>
        <v>99.895985021843131</v>
      </c>
      <c r="T22" s="26">
        <f t="shared" si="24"/>
        <v>85.477081384471461</v>
      </c>
      <c r="U22" s="26">
        <f t="shared" si="24"/>
        <v>91.4494865625106</v>
      </c>
      <c r="V22" s="26">
        <f t="shared" si="24"/>
        <v>71.772253408179637</v>
      </c>
      <c r="W22" s="26">
        <f t="shared" si="24"/>
        <v>90.956917389449728</v>
      </c>
      <c r="X22" s="26">
        <f t="shared" si="24"/>
        <v>154.71841704718418</v>
      </c>
      <c r="Y22" s="26">
        <f t="shared" si="24"/>
        <v>96.454419182688795</v>
      </c>
      <c r="Z22" s="113"/>
      <c r="AA22" s="244" t="s">
        <v>20</v>
      </c>
      <c r="AB22" s="26">
        <f t="shared" ref="AB22:AH22" si="25">AB21/AB20*100</f>
        <v>38.268792710706144</v>
      </c>
      <c r="AC22" s="26">
        <f t="shared" si="25"/>
        <v>36.355051935788481</v>
      </c>
      <c r="AD22" s="26">
        <f t="shared" si="25"/>
        <v>39.617224880382771</v>
      </c>
      <c r="AE22" s="26">
        <f t="shared" si="25"/>
        <v>38.878326996197721</v>
      </c>
      <c r="AF22" s="26">
        <f t="shared" si="25"/>
        <v>46.637335009428035</v>
      </c>
      <c r="AG22" s="26">
        <f t="shared" si="25"/>
        <v>113.88888888888889</v>
      </c>
      <c r="AH22" s="26">
        <f t="shared" si="25"/>
        <v>22.083981337480559</v>
      </c>
      <c r="AI22" s="113"/>
      <c r="AJ22" s="244" t="s">
        <v>20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 t="e">
        <f>AO21/AO20*100</f>
        <v>#DIV/0!</v>
      </c>
      <c r="AP22" s="26" t="e">
        <f>AP21/AP20*100</f>
        <v>#DIV/0!</v>
      </c>
      <c r="AQ22" s="26">
        <f>AQ21/AQ20*100</f>
        <v>0</v>
      </c>
    </row>
    <row r="23" spans="1:43" s="203" customFormat="1">
      <c r="A23" s="6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 s="203" customFormat="1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 s="203" customFormat="1">
      <c r="A25" s="6" t="s">
        <v>12</v>
      </c>
      <c r="B25" s="26" t="e">
        <f t="shared" ref="B25:H25" si="27">B24/B23*100</f>
        <v>#DIV/0!</v>
      </c>
      <c r="C25" s="26" t="e">
        <f t="shared" si="27"/>
        <v>#DIV/0!</v>
      </c>
      <c r="D25" s="26" t="e">
        <f t="shared" si="27"/>
        <v>#DIV/0!</v>
      </c>
      <c r="E25" s="26" t="e">
        <f t="shared" si="27"/>
        <v>#DIV/0!</v>
      </c>
      <c r="F25" s="26" t="e">
        <f t="shared" si="27"/>
        <v>#DIV/0!</v>
      </c>
      <c r="G25" s="26" t="e">
        <f t="shared" si="27"/>
        <v>#DIV/0!</v>
      </c>
      <c r="H25" s="26" t="e">
        <f t="shared" si="27"/>
        <v>#DIV/0!</v>
      </c>
      <c r="J25" s="6" t="s">
        <v>12</v>
      </c>
      <c r="K25" s="26" t="e">
        <f t="shared" ref="K25:Q25" si="28">K24/K23*100</f>
        <v>#DIV/0!</v>
      </c>
      <c r="L25" s="26" t="e">
        <f t="shared" si="28"/>
        <v>#DIV/0!</v>
      </c>
      <c r="M25" s="26" t="e">
        <f t="shared" si="28"/>
        <v>#DIV/0!</v>
      </c>
      <c r="N25" s="26" t="e">
        <f t="shared" si="28"/>
        <v>#DIV/0!</v>
      </c>
      <c r="O25" s="26" t="e">
        <f t="shared" si="28"/>
        <v>#DIV/0!</v>
      </c>
      <c r="P25" s="26" t="e">
        <f t="shared" si="28"/>
        <v>#DIV/0!</v>
      </c>
      <c r="Q25" s="26" t="e">
        <f t="shared" si="28"/>
        <v>#DIV/0!</v>
      </c>
      <c r="R25" s="6" t="s">
        <v>12</v>
      </c>
      <c r="S25" s="26" t="e">
        <f t="shared" ref="S25:Y25" si="29">S24/S23*100</f>
        <v>#DIV/0!</v>
      </c>
      <c r="T25" s="26" t="e">
        <f t="shared" si="29"/>
        <v>#DIV/0!</v>
      </c>
      <c r="U25" s="26" t="e">
        <f t="shared" si="29"/>
        <v>#DIV/0!</v>
      </c>
      <c r="V25" s="26" t="e">
        <f t="shared" si="29"/>
        <v>#DIV/0!</v>
      </c>
      <c r="W25" s="26" t="e">
        <f t="shared" si="29"/>
        <v>#DIV/0!</v>
      </c>
      <c r="X25" s="26" t="e">
        <f t="shared" si="29"/>
        <v>#DIV/0!</v>
      </c>
      <c r="Y25" s="26" t="e">
        <f t="shared" si="29"/>
        <v>#DIV/0!</v>
      </c>
      <c r="Z25" s="113"/>
      <c r="AA25" s="6" t="s">
        <v>12</v>
      </c>
      <c r="AB25" s="26" t="e">
        <f t="shared" ref="AB25:AH25" si="30">AB24/AB23*100</f>
        <v>#DIV/0!</v>
      </c>
      <c r="AC25" s="26" t="e">
        <f t="shared" si="30"/>
        <v>#DIV/0!</v>
      </c>
      <c r="AD25" s="26" t="e">
        <f t="shared" si="30"/>
        <v>#DIV/0!</v>
      </c>
      <c r="AE25" s="26" t="e">
        <f t="shared" si="30"/>
        <v>#DIV/0!</v>
      </c>
      <c r="AF25" s="26" t="e">
        <f t="shared" si="30"/>
        <v>#DIV/0!</v>
      </c>
      <c r="AG25" s="26" t="e">
        <f t="shared" si="30"/>
        <v>#DIV/0!</v>
      </c>
      <c r="AH25" s="26" t="e">
        <f t="shared" si="30"/>
        <v>#DIV/0!</v>
      </c>
      <c r="AI25" s="113"/>
      <c r="AJ25" s="6" t="s">
        <v>12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26" t="e">
        <f>AQ24/AQ23*100</f>
        <v>#DIV/0!</v>
      </c>
    </row>
    <row r="26" spans="1:43" s="203" customFormat="1">
      <c r="A26" s="6" t="s">
        <v>23</v>
      </c>
      <c r="B26" s="27">
        <f>K26+S26+AK26</f>
        <v>71</v>
      </c>
      <c r="C26" s="6">
        <f>L26+T26+AL26</f>
        <v>2640</v>
      </c>
      <c r="D26" s="6">
        <f>E26+F26+G26+H26</f>
        <v>2279</v>
      </c>
      <c r="E26" s="6">
        <f t="shared" ref="E26:H27" si="31">N26+V26+AN26</f>
        <v>223</v>
      </c>
      <c r="F26" s="6">
        <f t="shared" si="31"/>
        <v>459</v>
      </c>
      <c r="G26" s="6">
        <f t="shared" si="31"/>
        <v>63</v>
      </c>
      <c r="H26" s="6">
        <f t="shared" si="31"/>
        <v>1534</v>
      </c>
      <c r="J26" s="6" t="s">
        <v>23</v>
      </c>
      <c r="K26" s="27">
        <v>1.2</v>
      </c>
      <c r="L26" s="6">
        <v>756</v>
      </c>
      <c r="M26" s="6">
        <v>642</v>
      </c>
      <c r="N26" s="6">
        <v>110</v>
      </c>
      <c r="O26" s="6">
        <v>121</v>
      </c>
      <c r="P26" s="6">
        <v>22</v>
      </c>
      <c r="Q26" s="6">
        <v>389</v>
      </c>
      <c r="R26" s="6" t="s">
        <v>23</v>
      </c>
      <c r="S26" s="6">
        <v>69.8</v>
      </c>
      <c r="T26" s="6">
        <v>1884</v>
      </c>
      <c r="U26" s="6">
        <v>1636</v>
      </c>
      <c r="V26" s="6">
        <v>113</v>
      </c>
      <c r="W26" s="6">
        <v>338</v>
      </c>
      <c r="X26" s="6">
        <v>41</v>
      </c>
      <c r="Y26" s="6">
        <v>1145</v>
      </c>
      <c r="Z26" s="1"/>
      <c r="AA26" s="6" t="s">
        <v>23</v>
      </c>
      <c r="AB26" s="6"/>
      <c r="AC26" s="6">
        <v>56</v>
      </c>
      <c r="AD26" s="6">
        <v>49</v>
      </c>
      <c r="AE26" s="6">
        <v>5</v>
      </c>
      <c r="AF26" s="6">
        <v>11</v>
      </c>
      <c r="AG26" s="6">
        <v>2</v>
      </c>
      <c r="AH26" s="6">
        <v>31</v>
      </c>
      <c r="AI26" s="1"/>
      <c r="AJ26" s="6" t="s">
        <v>23</v>
      </c>
      <c r="AK26" s="6"/>
      <c r="AL26" s="6"/>
      <c r="AM26" s="6"/>
      <c r="AN26" s="6"/>
      <c r="AO26" s="6"/>
      <c r="AP26" s="6"/>
      <c r="AQ26" s="6"/>
    </row>
    <row r="27" spans="1:43" s="227" customFormat="1">
      <c r="A27" s="261" t="s">
        <v>24</v>
      </c>
      <c r="B27" s="261">
        <f>K27+S27+AK27</f>
        <v>82.7</v>
      </c>
      <c r="C27" s="261">
        <f>L27+T27+AL27</f>
        <v>1640</v>
      </c>
      <c r="D27" s="261">
        <f>E27+F27+G27+H27</f>
        <v>1505</v>
      </c>
      <c r="E27" s="261">
        <f t="shared" si="31"/>
        <v>165</v>
      </c>
      <c r="F27" s="261">
        <f t="shared" si="31"/>
        <v>266</v>
      </c>
      <c r="G27" s="261">
        <f t="shared" si="31"/>
        <v>38</v>
      </c>
      <c r="H27" s="261">
        <f t="shared" si="31"/>
        <v>1036</v>
      </c>
      <c r="J27" s="261" t="s">
        <v>24</v>
      </c>
      <c r="K27" s="261">
        <v>20.100000000000001</v>
      </c>
      <c r="L27" s="261">
        <v>410</v>
      </c>
      <c r="M27" s="261">
        <v>381</v>
      </c>
      <c r="N27" s="261">
        <v>41</v>
      </c>
      <c r="O27" s="261">
        <v>60</v>
      </c>
      <c r="P27" s="261">
        <v>10</v>
      </c>
      <c r="Q27" s="261">
        <v>270</v>
      </c>
      <c r="R27" s="261" t="s">
        <v>24</v>
      </c>
      <c r="S27" s="261">
        <v>62.6</v>
      </c>
      <c r="T27" s="261">
        <v>1230</v>
      </c>
      <c r="U27" s="261">
        <v>1122</v>
      </c>
      <c r="V27" s="261">
        <v>124</v>
      </c>
      <c r="W27" s="261">
        <v>206</v>
      </c>
      <c r="X27" s="261">
        <v>28</v>
      </c>
      <c r="Y27" s="261">
        <v>766</v>
      </c>
      <c r="Z27" s="374"/>
      <c r="AA27" s="261" t="s">
        <v>24</v>
      </c>
      <c r="AB27" s="266">
        <v>0.3</v>
      </c>
      <c r="AC27" s="261">
        <v>15</v>
      </c>
      <c r="AD27" s="261">
        <v>13</v>
      </c>
      <c r="AE27" s="261">
        <v>3</v>
      </c>
      <c r="AF27" s="261">
        <v>3</v>
      </c>
      <c r="AG27" s="261"/>
      <c r="AH27" s="261">
        <v>7</v>
      </c>
      <c r="AI27" s="374"/>
      <c r="AJ27" s="261" t="s">
        <v>24</v>
      </c>
      <c r="AK27" s="261"/>
      <c r="AL27" s="261"/>
      <c r="AM27" s="261"/>
      <c r="AN27" s="261"/>
      <c r="AO27" s="261"/>
      <c r="AP27" s="261"/>
      <c r="AQ27" s="261"/>
    </row>
    <row r="28" spans="1:43" s="203" customFormat="1">
      <c r="A28" s="6" t="s">
        <v>12</v>
      </c>
      <c r="B28" s="26">
        <f t="shared" ref="B28:H28" si="32">B27/B26*100</f>
        <v>116.47887323943662</v>
      </c>
      <c r="C28" s="26">
        <f t="shared" si="32"/>
        <v>62.121212121212125</v>
      </c>
      <c r="D28" s="26">
        <f t="shared" si="32"/>
        <v>66.037735849056602</v>
      </c>
      <c r="E28" s="26">
        <f t="shared" si="32"/>
        <v>73.991031390134538</v>
      </c>
      <c r="F28" s="26">
        <f t="shared" si="32"/>
        <v>57.952069716775597</v>
      </c>
      <c r="G28" s="26">
        <f t="shared" si="32"/>
        <v>60.317460317460316</v>
      </c>
      <c r="H28" s="26">
        <f t="shared" si="32"/>
        <v>67.535853976531939</v>
      </c>
      <c r="J28" s="6" t="s">
        <v>12</v>
      </c>
      <c r="K28" s="26">
        <f t="shared" ref="K28:Q28" si="33">K27/K26*100</f>
        <v>1675.0000000000005</v>
      </c>
      <c r="L28" s="26">
        <f t="shared" si="33"/>
        <v>54.232804232804234</v>
      </c>
      <c r="M28" s="26">
        <f t="shared" si="33"/>
        <v>59.345794392523366</v>
      </c>
      <c r="N28" s="26">
        <f t="shared" si="33"/>
        <v>37.272727272727273</v>
      </c>
      <c r="O28" s="26">
        <f t="shared" si="33"/>
        <v>49.586776859504134</v>
      </c>
      <c r="P28" s="26">
        <f t="shared" si="33"/>
        <v>45.454545454545453</v>
      </c>
      <c r="Q28" s="26">
        <f t="shared" si="33"/>
        <v>69.408740359897166</v>
      </c>
      <c r="R28" s="6" t="s">
        <v>12</v>
      </c>
      <c r="S28" s="26">
        <f t="shared" ref="S28:Y28" si="34">S27/S26*100</f>
        <v>89.684813753581665</v>
      </c>
      <c r="T28" s="26">
        <f t="shared" si="34"/>
        <v>65.286624203821646</v>
      </c>
      <c r="U28" s="26">
        <f t="shared" si="34"/>
        <v>68.58190709046454</v>
      </c>
      <c r="V28" s="26">
        <f t="shared" si="34"/>
        <v>109.73451327433628</v>
      </c>
      <c r="W28" s="26">
        <f t="shared" si="34"/>
        <v>60.946745562130175</v>
      </c>
      <c r="X28" s="26">
        <f t="shared" si="34"/>
        <v>68.292682926829272</v>
      </c>
      <c r="Y28" s="26">
        <f t="shared" si="34"/>
        <v>66.899563318777282</v>
      </c>
      <c r="Z28" s="113"/>
      <c r="AA28" s="6" t="s">
        <v>12</v>
      </c>
      <c r="AB28" s="26" t="e">
        <f t="shared" ref="AB28:AH28" si="35">AB27/AB26*100</f>
        <v>#DIV/0!</v>
      </c>
      <c r="AC28" s="26">
        <f t="shared" si="35"/>
        <v>26.785714285714285</v>
      </c>
      <c r="AD28" s="26">
        <f t="shared" si="35"/>
        <v>26.530612244897959</v>
      </c>
      <c r="AE28" s="26">
        <f t="shared" si="35"/>
        <v>60</v>
      </c>
      <c r="AF28" s="26">
        <f t="shared" si="35"/>
        <v>27.27272727272727</v>
      </c>
      <c r="AG28" s="26">
        <f t="shared" si="35"/>
        <v>0</v>
      </c>
      <c r="AH28" s="26">
        <f t="shared" si="35"/>
        <v>22.58064516129032</v>
      </c>
      <c r="AI28" s="113"/>
      <c r="AJ28" s="6" t="s">
        <v>12</v>
      </c>
      <c r="AK28" s="26" t="e">
        <f>AK27/AK26*100</f>
        <v>#DIV/0!</v>
      </c>
      <c r="AL28" s="26" t="e">
        <f>AL27/AL26*100</f>
        <v>#DIV/0!</v>
      </c>
      <c r="AM28" s="26" t="e">
        <f>AM27/AM26*100</f>
        <v>#DIV/0!</v>
      </c>
      <c r="AN28" s="26">
        <v>0</v>
      </c>
      <c r="AO28" s="26" t="e">
        <f>AO27/AO26*100</f>
        <v>#DIV/0!</v>
      </c>
      <c r="AP28" s="26" t="e">
        <f>AP27/AP26*100</f>
        <v>#DIV/0!</v>
      </c>
      <c r="AQ28" s="26" t="e">
        <f>AQ27/AQ26*100</f>
        <v>#DIV/0!</v>
      </c>
    </row>
    <row r="29" spans="1:43" s="203" customFormat="1">
      <c r="A29" s="6" t="s">
        <v>25</v>
      </c>
      <c r="B29" s="27">
        <f>K29+S29+AK29</f>
        <v>108.89999999999999</v>
      </c>
      <c r="C29" s="6">
        <f>L29+T29+AL29</f>
        <v>4192</v>
      </c>
      <c r="D29" s="6">
        <f>E29+F29+G29+H29</f>
        <v>3611</v>
      </c>
      <c r="E29" s="6">
        <f t="shared" ref="E29:H30" si="36">N29+V29+AN29</f>
        <v>352</v>
      </c>
      <c r="F29" s="6">
        <f t="shared" si="36"/>
        <v>766</v>
      </c>
      <c r="G29" s="6">
        <f t="shared" si="36"/>
        <v>27</v>
      </c>
      <c r="H29" s="6">
        <f t="shared" si="36"/>
        <v>2466</v>
      </c>
      <c r="J29" s="6" t="s">
        <v>25</v>
      </c>
      <c r="K29" s="27">
        <v>7.6</v>
      </c>
      <c r="L29" s="6">
        <v>419</v>
      </c>
      <c r="M29" s="6">
        <v>338</v>
      </c>
      <c r="N29" s="6">
        <v>12</v>
      </c>
      <c r="O29" s="6">
        <v>44</v>
      </c>
      <c r="P29" s="6">
        <v>27</v>
      </c>
      <c r="Q29" s="6">
        <v>255</v>
      </c>
      <c r="R29" s="6" t="s">
        <v>25</v>
      </c>
      <c r="S29" s="6">
        <v>101.3</v>
      </c>
      <c r="T29" s="6">
        <v>3773</v>
      </c>
      <c r="U29" s="6">
        <v>3273</v>
      </c>
      <c r="V29" s="6">
        <v>340</v>
      </c>
      <c r="W29" s="6">
        <v>722</v>
      </c>
      <c r="X29" s="6"/>
      <c r="Y29" s="6">
        <v>2211</v>
      </c>
      <c r="Z29" s="1"/>
      <c r="AA29" s="6" t="s">
        <v>25</v>
      </c>
      <c r="AB29" s="6"/>
      <c r="AC29" s="6">
        <v>7</v>
      </c>
      <c r="AD29" s="6">
        <v>6</v>
      </c>
      <c r="AE29" s="6">
        <v>1</v>
      </c>
      <c r="AF29" s="6">
        <v>1</v>
      </c>
      <c r="AG29" s="6"/>
      <c r="AH29" s="6">
        <v>4</v>
      </c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 s="227" customFormat="1">
      <c r="A30" s="261" t="s">
        <v>26</v>
      </c>
      <c r="B30" s="261">
        <f>K30+S30+AK30</f>
        <v>160</v>
      </c>
      <c r="C30" s="261">
        <f>L30+T30+AL30</f>
        <v>4195</v>
      </c>
      <c r="D30" s="261">
        <f>E30+F30+G30+H30</f>
        <v>3861</v>
      </c>
      <c r="E30" s="261">
        <f t="shared" si="36"/>
        <v>582</v>
      </c>
      <c r="F30" s="261">
        <f t="shared" si="36"/>
        <v>442</v>
      </c>
      <c r="G30" s="261">
        <f t="shared" si="36"/>
        <v>13</v>
      </c>
      <c r="H30" s="261">
        <f t="shared" si="36"/>
        <v>2824</v>
      </c>
      <c r="J30" s="261" t="s">
        <v>26</v>
      </c>
      <c r="K30" s="261">
        <v>13.6</v>
      </c>
      <c r="L30" s="261">
        <v>460</v>
      </c>
      <c r="M30" s="261">
        <v>395</v>
      </c>
      <c r="N30" s="261">
        <v>35</v>
      </c>
      <c r="O30" s="261">
        <v>46</v>
      </c>
      <c r="P30" s="261">
        <v>7</v>
      </c>
      <c r="Q30" s="261">
        <v>307</v>
      </c>
      <c r="R30" s="261" t="s">
        <v>26</v>
      </c>
      <c r="S30" s="266">
        <v>146.4</v>
      </c>
      <c r="T30" s="261">
        <v>3735</v>
      </c>
      <c r="U30" s="261">
        <v>3466</v>
      </c>
      <c r="V30" s="261">
        <v>547</v>
      </c>
      <c r="W30" s="261">
        <v>396</v>
      </c>
      <c r="X30" s="261">
        <v>6</v>
      </c>
      <c r="Y30" s="261">
        <v>2517</v>
      </c>
      <c r="Z30" s="374"/>
      <c r="AA30" s="261" t="s">
        <v>26</v>
      </c>
      <c r="AB30" s="261"/>
      <c r="AC30" s="261"/>
      <c r="AD30" s="261"/>
      <c r="AE30" s="261"/>
      <c r="AF30" s="261"/>
      <c r="AG30" s="261"/>
      <c r="AH30" s="261"/>
      <c r="AI30" s="374"/>
      <c r="AJ30" s="261" t="s">
        <v>26</v>
      </c>
      <c r="AK30" s="261"/>
      <c r="AL30" s="261"/>
      <c r="AM30" s="261">
        <f>AN30+AO30+AP30+AQ30</f>
        <v>0</v>
      </c>
      <c r="AN30" s="261"/>
      <c r="AO30" s="261"/>
      <c r="AP30" s="261"/>
      <c r="AQ30" s="261"/>
    </row>
    <row r="31" spans="1:43" s="203" customFormat="1">
      <c r="A31" s="6" t="s">
        <v>12</v>
      </c>
      <c r="B31" s="26">
        <f t="shared" ref="B31:H31" si="37">B30/B29*100</f>
        <v>146.92378328741967</v>
      </c>
      <c r="C31" s="26">
        <f t="shared" si="37"/>
        <v>100.07156488549617</v>
      </c>
      <c r="D31" s="26">
        <f t="shared" si="37"/>
        <v>106.92328994738301</v>
      </c>
      <c r="E31" s="26">
        <f t="shared" si="37"/>
        <v>165.34090909090909</v>
      </c>
      <c r="F31" s="26">
        <f t="shared" si="37"/>
        <v>57.702349869451695</v>
      </c>
      <c r="G31" s="26">
        <f t="shared" si="37"/>
        <v>48.148148148148145</v>
      </c>
      <c r="H31" s="26">
        <f t="shared" si="37"/>
        <v>114.51743714517437</v>
      </c>
      <c r="J31" s="6" t="s">
        <v>12</v>
      </c>
      <c r="K31" s="26">
        <f t="shared" ref="K31:Q31" si="38">K30/K29*100</f>
        <v>178.94736842105263</v>
      </c>
      <c r="L31" s="26">
        <f t="shared" si="38"/>
        <v>109.7852028639618</v>
      </c>
      <c r="M31" s="26">
        <f t="shared" si="38"/>
        <v>116.8639053254438</v>
      </c>
      <c r="N31" s="26">
        <f t="shared" si="38"/>
        <v>291.66666666666663</v>
      </c>
      <c r="O31" s="26">
        <f t="shared" si="38"/>
        <v>104.54545454545455</v>
      </c>
      <c r="P31" s="26">
        <f t="shared" si="38"/>
        <v>25.925925925925924</v>
      </c>
      <c r="Q31" s="26">
        <f t="shared" si="38"/>
        <v>120.3921568627451</v>
      </c>
      <c r="R31" s="6" t="s">
        <v>12</v>
      </c>
      <c r="S31" s="26">
        <f t="shared" ref="S31:Y31" si="39">S30/S29*100</f>
        <v>144.52122408687069</v>
      </c>
      <c r="T31" s="26">
        <f t="shared" si="39"/>
        <v>98.992843890803073</v>
      </c>
      <c r="U31" s="26">
        <f t="shared" si="39"/>
        <v>105.89673082798656</v>
      </c>
      <c r="V31" s="26">
        <f t="shared" si="39"/>
        <v>160.88235294117646</v>
      </c>
      <c r="W31" s="26">
        <f t="shared" si="39"/>
        <v>54.847645429362878</v>
      </c>
      <c r="X31" s="26" t="e">
        <f t="shared" si="39"/>
        <v>#DIV/0!</v>
      </c>
      <c r="Y31" s="26">
        <f t="shared" si="39"/>
        <v>113.83989145183176</v>
      </c>
      <c r="Z31" s="113"/>
      <c r="AA31" s="6" t="s">
        <v>12</v>
      </c>
      <c r="AB31" s="26" t="e">
        <f t="shared" ref="AB31:AH31" si="40">AB30/AB29*100</f>
        <v>#DIV/0!</v>
      </c>
      <c r="AC31" s="26">
        <f t="shared" si="40"/>
        <v>0</v>
      </c>
      <c r="AD31" s="26">
        <f t="shared" si="40"/>
        <v>0</v>
      </c>
      <c r="AE31" s="26">
        <f t="shared" si="40"/>
        <v>0</v>
      </c>
      <c r="AF31" s="26">
        <f t="shared" si="40"/>
        <v>0</v>
      </c>
      <c r="AG31" s="26" t="e">
        <f t="shared" si="40"/>
        <v>#DIV/0!</v>
      </c>
      <c r="AH31" s="26">
        <f t="shared" si="40"/>
        <v>0</v>
      </c>
      <c r="AI31" s="113"/>
      <c r="AJ31" s="6" t="s">
        <v>12</v>
      </c>
      <c r="AK31" s="26" t="e">
        <f>AK30/AK29*100</f>
        <v>#DIV/0!</v>
      </c>
      <c r="AL31" s="26" t="e">
        <f>AL30/AL29*100</f>
        <v>#DIV/0!</v>
      </c>
      <c r="AM31" s="26" t="e">
        <f>AM30/AM29*100</f>
        <v>#DIV/0!</v>
      </c>
      <c r="AN31" s="26">
        <v>0</v>
      </c>
      <c r="AO31" s="26" t="e">
        <f>AO30/AO29*100</f>
        <v>#DIV/0!</v>
      </c>
      <c r="AP31" s="26" t="e">
        <f>AP30/AP29*100</f>
        <v>#DIV/0!</v>
      </c>
      <c r="AQ31" s="26" t="e">
        <f>AQ30/AQ29*100</f>
        <v>#DIV/0!</v>
      </c>
    </row>
    <row r="32" spans="1:43" s="203" customFormat="1">
      <c r="A32" s="6" t="s">
        <v>27</v>
      </c>
      <c r="B32" s="6">
        <f>K32+S32+AK32</f>
        <v>37.200000000000003</v>
      </c>
      <c r="C32" s="6">
        <f>L32+T32+AL32</f>
        <v>10223</v>
      </c>
      <c r="D32" s="6">
        <f>E32+F32+G32+H32</f>
        <v>9095</v>
      </c>
      <c r="E32" s="6">
        <f t="shared" ref="E32:H33" si="41">N32+V32+AN32</f>
        <v>6228</v>
      </c>
      <c r="F32" s="6">
        <f t="shared" si="41"/>
        <v>1532</v>
      </c>
      <c r="G32" s="6">
        <f t="shared" si="41"/>
        <v>207</v>
      </c>
      <c r="H32" s="6">
        <f t="shared" si="41"/>
        <v>1128</v>
      </c>
      <c r="J32" s="6" t="s">
        <v>27</v>
      </c>
      <c r="K32" s="6"/>
      <c r="L32" s="6"/>
      <c r="M32" s="6"/>
      <c r="N32" s="6"/>
      <c r="O32" s="6"/>
      <c r="P32" s="6"/>
      <c r="Q32" s="6"/>
      <c r="R32" s="6" t="s">
        <v>27</v>
      </c>
      <c r="S32" s="6">
        <v>37.200000000000003</v>
      </c>
      <c r="T32" s="6">
        <v>10223</v>
      </c>
      <c r="U32" s="6">
        <v>9095</v>
      </c>
      <c r="V32" s="6">
        <v>6228</v>
      </c>
      <c r="W32" s="6">
        <v>1532</v>
      </c>
      <c r="X32" s="6">
        <v>207</v>
      </c>
      <c r="Y32" s="6">
        <v>1128</v>
      </c>
      <c r="Z32" s="1"/>
      <c r="AA32" s="6" t="s">
        <v>27</v>
      </c>
      <c r="AB32" s="6">
        <v>37.200000000000003</v>
      </c>
      <c r="AC32" s="6">
        <v>10238</v>
      </c>
      <c r="AD32" s="6">
        <v>9108</v>
      </c>
      <c r="AE32" s="6">
        <v>6238</v>
      </c>
      <c r="AF32" s="6">
        <v>1534</v>
      </c>
      <c r="AG32" s="6">
        <v>207</v>
      </c>
      <c r="AH32" s="6">
        <v>1129</v>
      </c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 s="227" customFormat="1">
      <c r="A33" s="261" t="s">
        <v>28</v>
      </c>
      <c r="B33" s="261">
        <f>K33+S33+AK33</f>
        <v>25.7</v>
      </c>
      <c r="C33" s="261">
        <f>L33+T33+AL33</f>
        <v>5990</v>
      </c>
      <c r="D33" s="261">
        <f>E33+F33+G33+H33</f>
        <v>5926</v>
      </c>
      <c r="E33" s="261">
        <f t="shared" si="41"/>
        <v>4243</v>
      </c>
      <c r="F33" s="261">
        <f t="shared" si="41"/>
        <v>853</v>
      </c>
      <c r="G33" s="261">
        <f t="shared" si="41"/>
        <v>218</v>
      </c>
      <c r="H33" s="261">
        <f t="shared" si="41"/>
        <v>612</v>
      </c>
      <c r="J33" s="261" t="s">
        <v>28</v>
      </c>
      <c r="K33" s="261"/>
      <c r="L33" s="261"/>
      <c r="M33" s="261"/>
      <c r="N33" s="261"/>
      <c r="O33" s="261"/>
      <c r="P33" s="261"/>
      <c r="Q33" s="261"/>
      <c r="R33" s="261" t="s">
        <v>28</v>
      </c>
      <c r="S33" s="261">
        <v>25.7</v>
      </c>
      <c r="T33" s="261">
        <v>5990</v>
      </c>
      <c r="U33" s="261">
        <v>5926</v>
      </c>
      <c r="V33" s="261">
        <v>4243</v>
      </c>
      <c r="W33" s="261">
        <v>853</v>
      </c>
      <c r="X33" s="261">
        <v>218</v>
      </c>
      <c r="Y33" s="261">
        <v>612</v>
      </c>
      <c r="Z33" s="374"/>
      <c r="AA33" s="261" t="s">
        <v>28</v>
      </c>
      <c r="AB33" s="261">
        <v>14.8</v>
      </c>
      <c r="AC33" s="261">
        <v>3730</v>
      </c>
      <c r="AD33" s="261">
        <v>3628</v>
      </c>
      <c r="AE33" s="261">
        <v>2438</v>
      </c>
      <c r="AF33" s="261">
        <v>726</v>
      </c>
      <c r="AG33" s="261">
        <v>244</v>
      </c>
      <c r="AH33" s="261">
        <v>220</v>
      </c>
      <c r="AI33" s="374"/>
      <c r="AJ33" s="261" t="s">
        <v>28</v>
      </c>
      <c r="AK33" s="261"/>
      <c r="AL33" s="261"/>
      <c r="AM33" s="261">
        <f>AN33+AO33+AP33+AQ33</f>
        <v>0</v>
      </c>
      <c r="AN33" s="261"/>
      <c r="AO33" s="261"/>
      <c r="AP33" s="261"/>
      <c r="AQ33" s="261"/>
    </row>
    <row r="34" spans="1:43" s="203" customFormat="1">
      <c r="A34" s="6" t="s">
        <v>12</v>
      </c>
      <c r="B34" s="26">
        <f t="shared" ref="B34:H34" si="42">B33/B32*100</f>
        <v>69.086021505376337</v>
      </c>
      <c r="C34" s="26">
        <f t="shared" si="42"/>
        <v>58.59336789592097</v>
      </c>
      <c r="D34" s="26">
        <f t="shared" si="42"/>
        <v>65.156679494227603</v>
      </c>
      <c r="E34" s="26">
        <f t="shared" si="42"/>
        <v>68.127809890815669</v>
      </c>
      <c r="F34" s="26">
        <f t="shared" si="42"/>
        <v>55.678851174934728</v>
      </c>
      <c r="G34" s="26">
        <f t="shared" si="42"/>
        <v>105.31400966183575</v>
      </c>
      <c r="H34" s="26">
        <f t="shared" si="42"/>
        <v>54.255319148936167</v>
      </c>
      <c r="J34" s="6" t="s">
        <v>12</v>
      </c>
      <c r="K34" s="26">
        <v>0</v>
      </c>
      <c r="L34" s="26">
        <v>0</v>
      </c>
      <c r="M34" s="6">
        <f t="shared" ref="M34:M37" si="43">N34+O34+P34+Q34</f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f t="shared" ref="S34:Y34" si="44">S33/S32*100</f>
        <v>69.086021505376337</v>
      </c>
      <c r="T34" s="26">
        <f t="shared" si="44"/>
        <v>58.59336789592097</v>
      </c>
      <c r="U34" s="26">
        <f t="shared" si="44"/>
        <v>65.156679494227603</v>
      </c>
      <c r="V34" s="26">
        <f t="shared" si="44"/>
        <v>68.127809890815669</v>
      </c>
      <c r="W34" s="26">
        <f t="shared" si="44"/>
        <v>55.678851174934728</v>
      </c>
      <c r="X34" s="26">
        <f t="shared" si="44"/>
        <v>105.31400966183575</v>
      </c>
      <c r="Y34" s="26">
        <f t="shared" si="44"/>
        <v>54.255319148936167</v>
      </c>
      <c r="Z34" s="113"/>
      <c r="AA34" s="6" t="s">
        <v>12</v>
      </c>
      <c r="AB34" s="26">
        <f t="shared" ref="AB34:AH34" si="45">AB33/AB32*100</f>
        <v>39.784946236559136</v>
      </c>
      <c r="AC34" s="26">
        <f t="shared" si="45"/>
        <v>36.432897050205121</v>
      </c>
      <c r="AD34" s="26">
        <f t="shared" si="45"/>
        <v>39.833113746157224</v>
      </c>
      <c r="AE34" s="26">
        <f t="shared" si="45"/>
        <v>39.083039435716579</v>
      </c>
      <c r="AF34" s="26">
        <f t="shared" si="45"/>
        <v>47.327249022164274</v>
      </c>
      <c r="AG34" s="26">
        <f t="shared" si="45"/>
        <v>117.8743961352657</v>
      </c>
      <c r="AH34" s="26">
        <f t="shared" si="45"/>
        <v>19.486271036315323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 s="203" customFormat="1">
      <c r="A35" s="6" t="s">
        <v>29</v>
      </c>
      <c r="B35" s="6">
        <f>K35+S35+AK35</f>
        <v>245.3</v>
      </c>
      <c r="C35" s="6">
        <f>L35+T35+AL35</f>
        <v>17084</v>
      </c>
      <c r="D35" s="6">
        <f>E35+F35+G35+H35</f>
        <v>14539</v>
      </c>
      <c r="E35" s="6">
        <f t="shared" ref="E35:H36" si="46">N35+V35+AN35</f>
        <v>676</v>
      </c>
      <c r="F35" s="6">
        <f t="shared" si="46"/>
        <v>4287</v>
      </c>
      <c r="G35" s="6">
        <f t="shared" si="46"/>
        <v>1040</v>
      </c>
      <c r="H35" s="6">
        <f t="shared" si="46"/>
        <v>8536</v>
      </c>
      <c r="I35" s="58"/>
      <c r="J35" s="6" t="s">
        <v>29</v>
      </c>
      <c r="K35" s="6"/>
      <c r="L35" s="6">
        <v>37</v>
      </c>
      <c r="M35" s="6">
        <v>31</v>
      </c>
      <c r="N35" s="6">
        <v>1</v>
      </c>
      <c r="O35" s="6">
        <v>7</v>
      </c>
      <c r="P35" s="6">
        <v>3</v>
      </c>
      <c r="Q35" s="6">
        <v>20</v>
      </c>
      <c r="R35" s="6" t="s">
        <v>29</v>
      </c>
      <c r="S35" s="6">
        <v>245.3</v>
      </c>
      <c r="T35" s="6">
        <v>17047</v>
      </c>
      <c r="U35" s="6">
        <v>14508</v>
      </c>
      <c r="V35" s="6">
        <v>675</v>
      </c>
      <c r="W35" s="6">
        <v>4280</v>
      </c>
      <c r="X35" s="6">
        <v>1037</v>
      </c>
      <c r="Y35" s="6">
        <v>8516</v>
      </c>
      <c r="Z35" s="1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"/>
      <c r="AJ35" s="6" t="s">
        <v>29</v>
      </c>
      <c r="AK35" s="6"/>
      <c r="AL35" s="6"/>
      <c r="AM35" s="6"/>
      <c r="AN35" s="6"/>
      <c r="AO35" s="6"/>
      <c r="AP35" s="6"/>
      <c r="AQ35" s="6"/>
    </row>
    <row r="36" spans="1:43" s="227" customFormat="1">
      <c r="A36" s="261" t="s">
        <v>30</v>
      </c>
      <c r="B36" s="261">
        <f>K36+S36+AK36</f>
        <v>200.4</v>
      </c>
      <c r="C36" s="261">
        <f>L36+T36+AL36</f>
        <v>15880</v>
      </c>
      <c r="D36" s="261">
        <f>E36+F36+G36+H36</f>
        <v>14726</v>
      </c>
      <c r="E36" s="261">
        <f t="shared" si="46"/>
        <v>219</v>
      </c>
      <c r="F36" s="261">
        <f t="shared" si="46"/>
        <v>4729</v>
      </c>
      <c r="G36" s="261">
        <f t="shared" si="46"/>
        <v>1737</v>
      </c>
      <c r="H36" s="261">
        <f t="shared" si="46"/>
        <v>8041</v>
      </c>
      <c r="J36" s="261" t="s">
        <v>30</v>
      </c>
      <c r="K36" s="261">
        <v>0.1</v>
      </c>
      <c r="L36" s="261">
        <v>80</v>
      </c>
      <c r="M36" s="261">
        <v>60</v>
      </c>
      <c r="N36" s="261">
        <v>8</v>
      </c>
      <c r="O36" s="261">
        <v>3</v>
      </c>
      <c r="P36" s="261">
        <v>1</v>
      </c>
      <c r="Q36" s="261">
        <v>48</v>
      </c>
      <c r="R36" s="261" t="s">
        <v>30</v>
      </c>
      <c r="S36" s="266">
        <v>200.3</v>
      </c>
      <c r="T36" s="261">
        <v>15800</v>
      </c>
      <c r="U36" s="261">
        <v>14666</v>
      </c>
      <c r="V36" s="261">
        <v>211</v>
      </c>
      <c r="W36" s="261">
        <v>4726</v>
      </c>
      <c r="X36" s="261">
        <v>1736</v>
      </c>
      <c r="Y36" s="261">
        <v>7993</v>
      </c>
      <c r="Z36" s="374"/>
      <c r="AA36" s="261" t="s">
        <v>30</v>
      </c>
      <c r="AB36" s="261">
        <v>0.5</v>
      </c>
      <c r="AC36" s="261">
        <v>20</v>
      </c>
      <c r="AD36" s="261">
        <v>17</v>
      </c>
      <c r="AE36" s="261">
        <v>2</v>
      </c>
      <c r="AF36" s="261">
        <v>5</v>
      </c>
      <c r="AG36" s="261">
        <v>1</v>
      </c>
      <c r="AH36" s="261">
        <v>9</v>
      </c>
      <c r="AI36" s="374"/>
      <c r="AJ36" s="261" t="s">
        <v>30</v>
      </c>
      <c r="AK36" s="261"/>
      <c r="AL36" s="261"/>
      <c r="AM36" s="261"/>
      <c r="AN36" s="261"/>
      <c r="AO36" s="261"/>
      <c r="AP36" s="261"/>
      <c r="AQ36" s="261"/>
    </row>
    <row r="37" spans="1:43" s="203" customFormat="1">
      <c r="A37" s="6" t="s">
        <v>12</v>
      </c>
      <c r="B37" s="26">
        <f t="shared" ref="B37:H37" si="47">B36/B35*100</f>
        <v>81.695882592743573</v>
      </c>
      <c r="C37" s="26">
        <f t="shared" si="47"/>
        <v>92.952470147506432</v>
      </c>
      <c r="D37" s="26">
        <f t="shared" si="47"/>
        <v>101.28619574936377</v>
      </c>
      <c r="E37" s="26">
        <f t="shared" si="47"/>
        <v>32.396449704142007</v>
      </c>
      <c r="F37" s="26">
        <f t="shared" si="47"/>
        <v>110.31024026125496</v>
      </c>
      <c r="G37" s="26">
        <f t="shared" si="47"/>
        <v>167.01923076923077</v>
      </c>
      <c r="H37" s="26">
        <f t="shared" si="47"/>
        <v>94.201030927835049</v>
      </c>
      <c r="J37" s="6" t="s">
        <v>12</v>
      </c>
      <c r="K37" s="26">
        <v>0</v>
      </c>
      <c r="L37" s="26">
        <v>0</v>
      </c>
      <c r="M37" s="6">
        <f t="shared" si="43"/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8">S36/S35*100</f>
        <v>81.655116184264159</v>
      </c>
      <c r="T37" s="26">
        <f t="shared" si="48"/>
        <v>92.684929899689095</v>
      </c>
      <c r="U37" s="26">
        <f t="shared" si="48"/>
        <v>101.08905431486077</v>
      </c>
      <c r="V37" s="26">
        <f t="shared" si="48"/>
        <v>31.25925925925926</v>
      </c>
      <c r="W37" s="26">
        <f t="shared" si="48"/>
        <v>110.42056074766356</v>
      </c>
      <c r="X37" s="26">
        <f t="shared" si="48"/>
        <v>167.4059787849566</v>
      </c>
      <c r="Y37" s="26">
        <f t="shared" si="48"/>
        <v>93.858619069985906</v>
      </c>
      <c r="Z37" s="113"/>
      <c r="AA37" s="6" t="s">
        <v>12</v>
      </c>
      <c r="AB37" s="26" t="e">
        <f t="shared" ref="AB37:AH37" si="49">AB36/AB35*100</f>
        <v>#DIV/0!</v>
      </c>
      <c r="AC37" s="26" t="e">
        <f t="shared" si="49"/>
        <v>#DIV/0!</v>
      </c>
      <c r="AD37" s="26" t="e">
        <f t="shared" si="49"/>
        <v>#DIV/0!</v>
      </c>
      <c r="AE37" s="26" t="e">
        <f t="shared" si="49"/>
        <v>#DIV/0!</v>
      </c>
      <c r="AF37" s="26" t="e">
        <f t="shared" si="49"/>
        <v>#DIV/0!</v>
      </c>
      <c r="AG37" s="26" t="e">
        <f t="shared" si="49"/>
        <v>#DIV/0!</v>
      </c>
      <c r="AH37" s="26" t="e">
        <f t="shared" si="49"/>
        <v>#DIV/0!</v>
      </c>
      <c r="AI37" s="113"/>
      <c r="AJ37" s="6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</row>
    <row r="38" spans="1:43" s="203" customFormat="1">
      <c r="A38" s="6" t="s">
        <v>31</v>
      </c>
      <c r="B38" s="6">
        <f>K38+S38+AK38</f>
        <v>294</v>
      </c>
      <c r="C38" s="6">
        <f>L38+T38+AL38</f>
        <v>6311</v>
      </c>
      <c r="D38" s="6">
        <f>E38+F38+G38+H38</f>
        <v>4871</v>
      </c>
      <c r="E38" s="6">
        <f t="shared" ref="E38:H39" si="50">N38+V38+AN38</f>
        <v>857</v>
      </c>
      <c r="F38" s="6">
        <f t="shared" si="50"/>
        <v>1422</v>
      </c>
      <c r="G38" s="6">
        <f t="shared" si="50"/>
        <v>192</v>
      </c>
      <c r="H38" s="6">
        <f t="shared" si="50"/>
        <v>2400</v>
      </c>
      <c r="J38" s="6" t="s">
        <v>31</v>
      </c>
      <c r="K38" s="6">
        <v>166.4</v>
      </c>
      <c r="L38" s="6">
        <v>4558</v>
      </c>
      <c r="M38" s="6">
        <v>3699</v>
      </c>
      <c r="N38" s="6">
        <v>731</v>
      </c>
      <c r="O38" s="6">
        <v>1261</v>
      </c>
      <c r="P38" s="6">
        <v>163</v>
      </c>
      <c r="Q38" s="6">
        <v>1544</v>
      </c>
      <c r="R38" s="6" t="s">
        <v>31</v>
      </c>
      <c r="S38" s="6">
        <v>27.1</v>
      </c>
      <c r="T38" s="6">
        <v>1281</v>
      </c>
      <c r="U38" s="6">
        <v>995</v>
      </c>
      <c r="V38" s="6">
        <v>126</v>
      </c>
      <c r="W38" s="6">
        <v>161</v>
      </c>
      <c r="X38" s="6">
        <v>29</v>
      </c>
      <c r="Y38" s="6">
        <v>679</v>
      </c>
      <c r="Z38" s="1"/>
      <c r="AA38" s="6" t="s">
        <v>31</v>
      </c>
      <c r="AB38" s="27">
        <v>6.7</v>
      </c>
      <c r="AC38" s="6">
        <v>289</v>
      </c>
      <c r="AD38" s="6">
        <v>242</v>
      </c>
      <c r="AE38" s="6">
        <v>68</v>
      </c>
      <c r="AF38" s="6">
        <v>45</v>
      </c>
      <c r="AG38" s="6">
        <v>7</v>
      </c>
      <c r="AH38" s="6">
        <v>122</v>
      </c>
      <c r="AI38" s="1"/>
      <c r="AJ38" s="6" t="s">
        <v>31</v>
      </c>
      <c r="AK38" s="6">
        <v>100.5</v>
      </c>
      <c r="AL38" s="6">
        <v>472</v>
      </c>
      <c r="AM38" s="6">
        <v>177</v>
      </c>
      <c r="AN38" s="6"/>
      <c r="AO38" s="6"/>
      <c r="AP38" s="6"/>
      <c r="AQ38" s="6">
        <v>177</v>
      </c>
    </row>
    <row r="39" spans="1:43" s="227" customFormat="1">
      <c r="A39" s="261" t="s">
        <v>32</v>
      </c>
      <c r="B39" s="266">
        <f>K39+S39+AK39</f>
        <v>199.8</v>
      </c>
      <c r="C39" s="261">
        <f>L39+T39+AL39</f>
        <v>8270</v>
      </c>
      <c r="D39" s="261">
        <f>E39+F39+G39+H39</f>
        <v>7168</v>
      </c>
      <c r="E39" s="261">
        <f t="shared" si="50"/>
        <v>1373</v>
      </c>
      <c r="F39" s="261">
        <f t="shared" si="50"/>
        <v>1516</v>
      </c>
      <c r="G39" s="261">
        <f t="shared" si="50"/>
        <v>182</v>
      </c>
      <c r="H39" s="261">
        <f t="shared" si="50"/>
        <v>4097</v>
      </c>
      <c r="J39" s="261" t="s">
        <v>32</v>
      </c>
      <c r="K39" s="266">
        <v>154.6</v>
      </c>
      <c r="L39" s="261">
        <v>5785</v>
      </c>
      <c r="M39" s="261">
        <v>5356</v>
      </c>
      <c r="N39" s="261">
        <v>1128</v>
      </c>
      <c r="O39" s="261">
        <v>1300</v>
      </c>
      <c r="P39" s="261">
        <v>137</v>
      </c>
      <c r="Q39" s="261">
        <v>2791</v>
      </c>
      <c r="R39" s="261" t="s">
        <v>32</v>
      </c>
      <c r="S39" s="261">
        <v>45.2</v>
      </c>
      <c r="T39" s="261">
        <v>2485</v>
      </c>
      <c r="U39" s="261">
        <v>1804</v>
      </c>
      <c r="V39" s="261">
        <v>245</v>
      </c>
      <c r="W39" s="261">
        <v>216</v>
      </c>
      <c r="X39" s="261">
        <v>45</v>
      </c>
      <c r="Y39" s="261">
        <v>1306</v>
      </c>
      <c r="Z39" s="374"/>
      <c r="AA39" s="261" t="s">
        <v>32</v>
      </c>
      <c r="AB39" s="261">
        <v>1.2</v>
      </c>
      <c r="AC39" s="261">
        <v>85</v>
      </c>
      <c r="AD39" s="261">
        <v>68</v>
      </c>
      <c r="AE39" s="261">
        <v>11</v>
      </c>
      <c r="AF39" s="261">
        <v>8</v>
      </c>
      <c r="AG39" s="261">
        <v>1</v>
      </c>
      <c r="AH39" s="261">
        <v>48</v>
      </c>
      <c r="AI39" s="374"/>
      <c r="AJ39" s="261" t="s">
        <v>32</v>
      </c>
      <c r="AK39" s="261"/>
      <c r="AL39" s="261"/>
      <c r="AM39" s="261"/>
      <c r="AN39" s="261"/>
      <c r="AO39" s="261"/>
      <c r="AP39" s="261"/>
      <c r="AQ39" s="261"/>
    </row>
    <row r="40" spans="1:43" s="203" customFormat="1">
      <c r="A40" s="6" t="s">
        <v>12</v>
      </c>
      <c r="B40" s="26">
        <f t="shared" ref="B40:H40" si="51">B39/B38*100</f>
        <v>67.959183673469397</v>
      </c>
      <c r="C40" s="26">
        <f t="shared" si="51"/>
        <v>131.04103945492</v>
      </c>
      <c r="D40" s="26">
        <f t="shared" si="51"/>
        <v>147.15664134674603</v>
      </c>
      <c r="E40" s="26">
        <f t="shared" si="51"/>
        <v>160.2100350058343</v>
      </c>
      <c r="F40" s="26">
        <f t="shared" si="51"/>
        <v>106.61040787623067</v>
      </c>
      <c r="G40" s="26">
        <f t="shared" si="51"/>
        <v>94.791666666666657</v>
      </c>
      <c r="H40" s="26">
        <f t="shared" si="51"/>
        <v>170.70833333333331</v>
      </c>
      <c r="J40" s="6" t="s">
        <v>12</v>
      </c>
      <c r="K40" s="26">
        <f t="shared" ref="K40:Q40" si="52">K39/K38*100</f>
        <v>92.90865384615384</v>
      </c>
      <c r="L40" s="26">
        <f t="shared" si="52"/>
        <v>126.91970162351909</v>
      </c>
      <c r="M40" s="26">
        <f t="shared" si="52"/>
        <v>144.79589078129226</v>
      </c>
      <c r="N40" s="26">
        <f t="shared" si="52"/>
        <v>154.3091655266758</v>
      </c>
      <c r="O40" s="26">
        <f t="shared" si="52"/>
        <v>103.09278350515463</v>
      </c>
      <c r="P40" s="26">
        <f t="shared" si="52"/>
        <v>84.049079754601223</v>
      </c>
      <c r="Q40" s="26">
        <f t="shared" si="52"/>
        <v>180.7642487046632</v>
      </c>
      <c r="R40" s="6" t="s">
        <v>12</v>
      </c>
      <c r="S40" s="26">
        <f t="shared" ref="S40:Y40" si="53">S39/S38*100</f>
        <v>166.78966789667896</v>
      </c>
      <c r="T40" s="26">
        <f t="shared" si="53"/>
        <v>193.98907103825135</v>
      </c>
      <c r="U40" s="26">
        <f t="shared" si="53"/>
        <v>181.30653266331657</v>
      </c>
      <c r="V40" s="26">
        <f t="shared" si="53"/>
        <v>194.44444444444443</v>
      </c>
      <c r="W40" s="26">
        <f t="shared" si="53"/>
        <v>134.16149068322983</v>
      </c>
      <c r="X40" s="26">
        <f t="shared" si="53"/>
        <v>155.17241379310346</v>
      </c>
      <c r="Y40" s="26">
        <f t="shared" si="53"/>
        <v>192.34167893961708</v>
      </c>
      <c r="Z40" s="113"/>
      <c r="AA40" s="6" t="s">
        <v>12</v>
      </c>
      <c r="AB40" s="26">
        <f t="shared" ref="AB40:AH40" si="54">AB39/AB38*100</f>
        <v>17.910447761194028</v>
      </c>
      <c r="AC40" s="26">
        <f t="shared" si="54"/>
        <v>29.411764705882355</v>
      </c>
      <c r="AD40" s="26">
        <f t="shared" si="54"/>
        <v>28.099173553719009</v>
      </c>
      <c r="AE40" s="26">
        <f t="shared" si="54"/>
        <v>16.176470588235293</v>
      </c>
      <c r="AF40" s="26">
        <f t="shared" si="54"/>
        <v>17.777777777777779</v>
      </c>
      <c r="AG40" s="26">
        <f t="shared" si="54"/>
        <v>14.285714285714285</v>
      </c>
      <c r="AH40" s="26">
        <f t="shared" si="54"/>
        <v>39.344262295081968</v>
      </c>
      <c r="AI40" s="113"/>
      <c r="AJ40" s="6" t="s">
        <v>12</v>
      </c>
      <c r="AK40" s="26">
        <f>AK39/AK38*100</f>
        <v>0</v>
      </c>
      <c r="AL40" s="26">
        <f>AL39/AL38*100</f>
        <v>0</v>
      </c>
      <c r="AM40" s="26">
        <f>AM39/AM38*100</f>
        <v>0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>
        <f>AQ39/AQ38*100</f>
        <v>0</v>
      </c>
    </row>
    <row r="41" spans="1:43" s="14" customFormat="1"/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55">K9+S9+AK9</f>
        <v>821.40000000000009</v>
      </c>
      <c r="C46" s="83">
        <f t="shared" si="55"/>
        <v>44066</v>
      </c>
      <c r="D46" s="83">
        <f t="shared" si="55"/>
        <v>37040</v>
      </c>
      <c r="E46" s="83">
        <f t="shared" si="55"/>
        <v>9237</v>
      </c>
      <c r="F46" s="83">
        <f t="shared" si="55"/>
        <v>9389</v>
      </c>
      <c r="G46" s="83">
        <f t="shared" si="55"/>
        <v>1632</v>
      </c>
      <c r="H46" s="83">
        <f t="shared" si="55"/>
        <v>16783</v>
      </c>
    </row>
    <row r="47" spans="1:43">
      <c r="A47" s="84" t="s">
        <v>50</v>
      </c>
      <c r="B47" s="83">
        <f t="shared" si="55"/>
        <v>747.2</v>
      </c>
      <c r="C47" s="83">
        <f t="shared" si="55"/>
        <v>40215</v>
      </c>
      <c r="D47" s="83">
        <f t="shared" si="55"/>
        <v>36739</v>
      </c>
      <c r="E47" s="83">
        <f t="shared" si="55"/>
        <v>7487</v>
      </c>
      <c r="F47" s="83">
        <f t="shared" si="55"/>
        <v>8552</v>
      </c>
      <c r="G47" s="83">
        <f t="shared" si="55"/>
        <v>2221</v>
      </c>
      <c r="H47" s="83">
        <f t="shared" si="55"/>
        <v>18489</v>
      </c>
    </row>
    <row r="48" spans="1:43">
      <c r="A48" s="85" t="s">
        <v>44</v>
      </c>
      <c r="B48" s="86">
        <f>B47/B46*100</f>
        <v>90.96664231799366</v>
      </c>
      <c r="C48" s="86">
        <f t="shared" ref="C48:H48" si="56">C47/C46*100</f>
        <v>91.260836018699223</v>
      </c>
      <c r="D48" s="86">
        <f t="shared" si="56"/>
        <v>99.187365010799127</v>
      </c>
      <c r="E48" s="86">
        <f t="shared" si="56"/>
        <v>81.054454909602683</v>
      </c>
      <c r="F48" s="86">
        <f t="shared" si="56"/>
        <v>91.08531259985088</v>
      </c>
      <c r="G48" s="86">
        <f t="shared" si="56"/>
        <v>136.09068627450981</v>
      </c>
      <c r="H48" s="86">
        <f t="shared" si="56"/>
        <v>110.16504796520287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7">K13+S13+AK13</f>
        <v>65</v>
      </c>
      <c r="C50" s="90">
        <f t="shared" si="57"/>
        <v>3616</v>
      </c>
      <c r="D50" s="90">
        <f t="shared" si="57"/>
        <v>2646</v>
      </c>
      <c r="E50" s="90">
        <f t="shared" si="57"/>
        <v>901</v>
      </c>
      <c r="F50" s="90">
        <f t="shared" si="57"/>
        <v>923</v>
      </c>
      <c r="G50" s="90">
        <f t="shared" si="57"/>
        <v>103</v>
      </c>
      <c r="H50" s="90">
        <f t="shared" si="57"/>
        <v>719</v>
      </c>
    </row>
    <row r="51" spans="1:8">
      <c r="A51" s="75" t="s">
        <v>50</v>
      </c>
      <c r="B51" s="90">
        <f t="shared" si="57"/>
        <v>78.599999999999994</v>
      </c>
      <c r="C51" s="90">
        <f t="shared" si="57"/>
        <v>4240</v>
      </c>
      <c r="D51" s="90">
        <f t="shared" si="57"/>
        <v>3563</v>
      </c>
      <c r="E51" s="90">
        <f t="shared" si="57"/>
        <v>905</v>
      </c>
      <c r="F51" s="90">
        <f t="shared" si="57"/>
        <v>746</v>
      </c>
      <c r="G51" s="90">
        <f t="shared" si="57"/>
        <v>33</v>
      </c>
      <c r="H51" s="90">
        <f t="shared" si="57"/>
        <v>1879</v>
      </c>
    </row>
    <row r="52" spans="1:8">
      <c r="A52" s="75" t="s">
        <v>44</v>
      </c>
      <c r="B52" s="91">
        <f t="shared" ref="B52:H52" si="58">B51/B50*100</f>
        <v>120.92307692307691</v>
      </c>
      <c r="C52" s="91">
        <f t="shared" si="58"/>
        <v>117.25663716814158</v>
      </c>
      <c r="D52" s="91">
        <f t="shared" si="58"/>
        <v>134.65608465608466</v>
      </c>
      <c r="E52" s="91">
        <f t="shared" si="58"/>
        <v>100.44395116537181</v>
      </c>
      <c r="F52" s="91">
        <f t="shared" si="58"/>
        <v>80.823401950162506</v>
      </c>
      <c r="G52" s="91">
        <f t="shared" si="58"/>
        <v>32.038834951456316</v>
      </c>
      <c r="H52" s="91">
        <f t="shared" si="58"/>
        <v>261.33518776077887</v>
      </c>
    </row>
    <row r="53" spans="1:8">
      <c r="A53" s="75" t="s">
        <v>13</v>
      </c>
      <c r="B53" s="90">
        <f t="shared" ref="B53:H55" si="59">K16+S16+AK16</f>
        <v>0</v>
      </c>
      <c r="C53" s="90">
        <f t="shared" si="59"/>
        <v>0</v>
      </c>
      <c r="D53" s="90">
        <f t="shared" si="59"/>
        <v>0</v>
      </c>
      <c r="E53" s="90">
        <f t="shared" si="59"/>
        <v>0</v>
      </c>
      <c r="F53" s="90">
        <f t="shared" si="59"/>
        <v>0</v>
      </c>
      <c r="G53" s="90">
        <f t="shared" si="59"/>
        <v>0</v>
      </c>
      <c r="H53" s="90">
        <f t="shared" si="59"/>
        <v>0</v>
      </c>
    </row>
    <row r="54" spans="1:8">
      <c r="A54" s="92" t="s">
        <v>14</v>
      </c>
      <c r="B54" s="90">
        <f t="shared" si="59"/>
        <v>0</v>
      </c>
      <c r="C54" s="90">
        <f t="shared" si="59"/>
        <v>0</v>
      </c>
      <c r="D54" s="90">
        <f t="shared" si="59"/>
        <v>0</v>
      </c>
      <c r="E54" s="90">
        <f t="shared" si="59"/>
        <v>0</v>
      </c>
      <c r="F54" s="90">
        <f t="shared" si="59"/>
        <v>0</v>
      </c>
      <c r="G54" s="90">
        <f t="shared" si="59"/>
        <v>0</v>
      </c>
      <c r="H54" s="90">
        <f t="shared" si="59"/>
        <v>0</v>
      </c>
    </row>
    <row r="55" spans="1:8">
      <c r="A55" s="75" t="s">
        <v>15</v>
      </c>
      <c r="B55" s="90">
        <f t="shared" si="59"/>
        <v>0</v>
      </c>
      <c r="C55" s="90">
        <f t="shared" si="59"/>
        <v>0</v>
      </c>
      <c r="D55" s="90">
        <f t="shared" si="59"/>
        <v>0</v>
      </c>
      <c r="E55" s="90">
        <f t="shared" si="59"/>
        <v>0</v>
      </c>
      <c r="F55" s="90">
        <f t="shared" si="59"/>
        <v>0</v>
      </c>
      <c r="G55" s="90">
        <f t="shared" si="59"/>
        <v>0</v>
      </c>
      <c r="H55" s="90">
        <f t="shared" si="59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0">K20+S20+AK20</f>
        <v>756.40000000000009</v>
      </c>
      <c r="C57" s="90">
        <f t="shared" si="60"/>
        <v>40450</v>
      </c>
      <c r="D57" s="90">
        <f t="shared" si="60"/>
        <v>34394</v>
      </c>
      <c r="E57" s="90">
        <f t="shared" si="60"/>
        <v>8336</v>
      </c>
      <c r="F57" s="90">
        <f t="shared" si="60"/>
        <v>8466</v>
      </c>
      <c r="G57" s="90">
        <f t="shared" si="60"/>
        <v>1529</v>
      </c>
      <c r="H57" s="90">
        <f t="shared" si="60"/>
        <v>16064</v>
      </c>
    </row>
    <row r="58" spans="1:8">
      <c r="A58" s="92" t="s">
        <v>50</v>
      </c>
      <c r="B58" s="90">
        <f t="shared" si="60"/>
        <v>668.6</v>
      </c>
      <c r="C58" s="90">
        <f t="shared" si="60"/>
        <v>35975</v>
      </c>
      <c r="D58" s="90">
        <f t="shared" si="60"/>
        <v>33176</v>
      </c>
      <c r="E58" s="90">
        <f t="shared" si="60"/>
        <v>6582</v>
      </c>
      <c r="F58" s="90">
        <f t="shared" si="60"/>
        <v>7806</v>
      </c>
      <c r="G58" s="90">
        <f t="shared" si="60"/>
        <v>2188</v>
      </c>
      <c r="H58" s="90">
        <f t="shared" si="60"/>
        <v>16610</v>
      </c>
    </row>
    <row r="59" spans="1:8">
      <c r="A59" s="75" t="s">
        <v>44</v>
      </c>
      <c r="B59" s="91">
        <f t="shared" ref="B59:H59" si="61">B58/B57*100</f>
        <v>88.392384981491261</v>
      </c>
      <c r="C59" s="91">
        <f t="shared" si="61"/>
        <v>88.936959208899879</v>
      </c>
      <c r="D59" s="91">
        <f t="shared" si="61"/>
        <v>96.458684654300157</v>
      </c>
      <c r="E59" s="91">
        <f t="shared" si="61"/>
        <v>78.958733205374273</v>
      </c>
      <c r="F59" s="91">
        <f t="shared" si="61"/>
        <v>92.204110559886615</v>
      </c>
      <c r="G59" s="91">
        <f t="shared" si="61"/>
        <v>143.10006540222369</v>
      </c>
      <c r="H59" s="91">
        <f t="shared" si="61"/>
        <v>103.39890438247012</v>
      </c>
    </row>
    <row r="60" spans="1:8">
      <c r="A60" s="75" t="s">
        <v>21</v>
      </c>
      <c r="B60" s="90">
        <f t="shared" ref="B60:H61" si="62">K23+S23+AK23</f>
        <v>0</v>
      </c>
      <c r="C60" s="90">
        <f t="shared" si="62"/>
        <v>0</v>
      </c>
      <c r="D60" s="90">
        <f t="shared" si="62"/>
        <v>0</v>
      </c>
      <c r="E60" s="90">
        <f t="shared" si="62"/>
        <v>0</v>
      </c>
      <c r="F60" s="90">
        <f t="shared" si="62"/>
        <v>0</v>
      </c>
      <c r="G60" s="90">
        <f t="shared" si="62"/>
        <v>0</v>
      </c>
      <c r="H60" s="90">
        <f t="shared" si="62"/>
        <v>0</v>
      </c>
    </row>
    <row r="61" spans="1:8">
      <c r="A61" s="75" t="s">
        <v>51</v>
      </c>
      <c r="B61" s="90">
        <f t="shared" si="62"/>
        <v>0</v>
      </c>
      <c r="C61" s="90">
        <f t="shared" si="62"/>
        <v>0</v>
      </c>
      <c r="D61" s="90">
        <f t="shared" si="62"/>
        <v>0</v>
      </c>
      <c r="E61" s="90">
        <f t="shared" si="62"/>
        <v>0</v>
      </c>
      <c r="F61" s="90">
        <f t="shared" si="62"/>
        <v>0</v>
      </c>
      <c r="G61" s="90">
        <f t="shared" si="62"/>
        <v>0</v>
      </c>
      <c r="H61" s="90">
        <f t="shared" si="62"/>
        <v>0</v>
      </c>
    </row>
    <row r="62" spans="1:8">
      <c r="A62" s="75" t="s">
        <v>12</v>
      </c>
      <c r="B62" s="91" t="e">
        <f t="shared" ref="B62:H62" si="63">B61/B60*100</f>
        <v>#DIV/0!</v>
      </c>
      <c r="C62" s="91" t="e">
        <f t="shared" si="63"/>
        <v>#DIV/0!</v>
      </c>
      <c r="D62" s="91" t="e">
        <f t="shared" si="63"/>
        <v>#DIV/0!</v>
      </c>
      <c r="E62" s="91" t="e">
        <f t="shared" si="63"/>
        <v>#DIV/0!</v>
      </c>
      <c r="F62" s="91" t="e">
        <f t="shared" si="63"/>
        <v>#DIV/0!</v>
      </c>
      <c r="G62" s="91" t="e">
        <f t="shared" si="63"/>
        <v>#DIV/0!</v>
      </c>
      <c r="H62" s="91" t="e">
        <f t="shared" si="63"/>
        <v>#DIV/0!</v>
      </c>
    </row>
    <row r="63" spans="1:8">
      <c r="A63" s="75" t="s">
        <v>23</v>
      </c>
      <c r="B63" s="90">
        <f t="shared" ref="B63:H64" si="64">K26+S26+AK26</f>
        <v>71</v>
      </c>
      <c r="C63" s="90">
        <f t="shared" si="64"/>
        <v>2640</v>
      </c>
      <c r="D63" s="90">
        <f t="shared" si="64"/>
        <v>2278</v>
      </c>
      <c r="E63" s="90">
        <f t="shared" si="64"/>
        <v>223</v>
      </c>
      <c r="F63" s="90">
        <f t="shared" si="64"/>
        <v>459</v>
      </c>
      <c r="G63" s="90">
        <f t="shared" si="64"/>
        <v>63</v>
      </c>
      <c r="H63" s="90">
        <f t="shared" si="64"/>
        <v>1534</v>
      </c>
    </row>
    <row r="64" spans="1:8">
      <c r="A64" s="75" t="s">
        <v>45</v>
      </c>
      <c r="B64" s="90">
        <f t="shared" si="64"/>
        <v>82.7</v>
      </c>
      <c r="C64" s="90">
        <f t="shared" si="64"/>
        <v>1640</v>
      </c>
      <c r="D64" s="90">
        <f t="shared" si="64"/>
        <v>1503</v>
      </c>
      <c r="E64" s="90">
        <f t="shared" si="64"/>
        <v>165</v>
      </c>
      <c r="F64" s="90">
        <f t="shared" si="64"/>
        <v>266</v>
      </c>
      <c r="G64" s="90">
        <f t="shared" si="64"/>
        <v>38</v>
      </c>
      <c r="H64" s="90">
        <f t="shared" si="64"/>
        <v>1036</v>
      </c>
    </row>
    <row r="65" spans="1:8">
      <c r="A65" s="75" t="s">
        <v>12</v>
      </c>
      <c r="B65" s="91">
        <f t="shared" ref="B65:H65" si="65">B64/B63*100</f>
        <v>116.47887323943662</v>
      </c>
      <c r="C65" s="91">
        <f t="shared" si="65"/>
        <v>62.121212121212125</v>
      </c>
      <c r="D65" s="91">
        <f t="shared" si="65"/>
        <v>65.978928884986829</v>
      </c>
      <c r="E65" s="91">
        <f t="shared" si="65"/>
        <v>73.991031390134538</v>
      </c>
      <c r="F65" s="91">
        <f t="shared" si="65"/>
        <v>57.952069716775597</v>
      </c>
      <c r="G65" s="91">
        <f t="shared" si="65"/>
        <v>60.317460317460316</v>
      </c>
      <c r="H65" s="91">
        <f t="shared" si="65"/>
        <v>67.535853976531939</v>
      </c>
    </row>
    <row r="66" spans="1:8">
      <c r="A66" s="75" t="s">
        <v>25</v>
      </c>
      <c r="B66" s="90">
        <f t="shared" ref="B66:H67" si="66">K29+S29+AK29</f>
        <v>108.89999999999999</v>
      </c>
      <c r="C66" s="90">
        <f t="shared" si="66"/>
        <v>4192</v>
      </c>
      <c r="D66" s="90">
        <f t="shared" si="66"/>
        <v>3611</v>
      </c>
      <c r="E66" s="90">
        <f t="shared" si="66"/>
        <v>352</v>
      </c>
      <c r="F66" s="90">
        <f t="shared" si="66"/>
        <v>766</v>
      </c>
      <c r="G66" s="90">
        <f t="shared" si="66"/>
        <v>27</v>
      </c>
      <c r="H66" s="90">
        <f t="shared" si="66"/>
        <v>2466</v>
      </c>
    </row>
    <row r="67" spans="1:8">
      <c r="A67" s="75" t="s">
        <v>46</v>
      </c>
      <c r="B67" s="90">
        <f t="shared" si="66"/>
        <v>160</v>
      </c>
      <c r="C67" s="90">
        <f t="shared" si="66"/>
        <v>4195</v>
      </c>
      <c r="D67" s="90">
        <f t="shared" si="66"/>
        <v>3861</v>
      </c>
      <c r="E67" s="90">
        <f t="shared" si="66"/>
        <v>582</v>
      </c>
      <c r="F67" s="90">
        <f t="shared" si="66"/>
        <v>442</v>
      </c>
      <c r="G67" s="90">
        <f t="shared" si="66"/>
        <v>13</v>
      </c>
      <c r="H67" s="90">
        <f t="shared" si="66"/>
        <v>2824</v>
      </c>
    </row>
    <row r="68" spans="1:8">
      <c r="A68" s="75" t="s">
        <v>12</v>
      </c>
      <c r="B68" s="91">
        <f t="shared" ref="B68:H68" si="67">B67/B66*100</f>
        <v>146.92378328741967</v>
      </c>
      <c r="C68" s="91">
        <f t="shared" si="67"/>
        <v>100.07156488549617</v>
      </c>
      <c r="D68" s="91">
        <f t="shared" si="67"/>
        <v>106.92328994738301</v>
      </c>
      <c r="E68" s="91">
        <f t="shared" si="67"/>
        <v>165.34090909090909</v>
      </c>
      <c r="F68" s="91">
        <f t="shared" si="67"/>
        <v>57.702349869451695</v>
      </c>
      <c r="G68" s="91">
        <f t="shared" si="67"/>
        <v>48.148148148148145</v>
      </c>
      <c r="H68" s="91">
        <f t="shared" si="67"/>
        <v>114.51743714517437</v>
      </c>
    </row>
    <row r="69" spans="1:8">
      <c r="A69" s="75" t="s">
        <v>27</v>
      </c>
      <c r="B69" s="90">
        <f t="shared" ref="B69:H70" si="68">K32+S32+AK32</f>
        <v>37.200000000000003</v>
      </c>
      <c r="C69" s="90">
        <f t="shared" si="68"/>
        <v>10223</v>
      </c>
      <c r="D69" s="90">
        <f t="shared" si="68"/>
        <v>9095</v>
      </c>
      <c r="E69" s="90">
        <f t="shared" si="68"/>
        <v>6228</v>
      </c>
      <c r="F69" s="90">
        <f t="shared" si="68"/>
        <v>1532</v>
      </c>
      <c r="G69" s="90">
        <f t="shared" si="68"/>
        <v>207</v>
      </c>
      <c r="H69" s="90">
        <f t="shared" si="68"/>
        <v>1128</v>
      </c>
    </row>
    <row r="70" spans="1:8">
      <c r="A70" s="75" t="s">
        <v>47</v>
      </c>
      <c r="B70" s="90">
        <f t="shared" si="68"/>
        <v>25.7</v>
      </c>
      <c r="C70" s="90">
        <f t="shared" si="68"/>
        <v>5990</v>
      </c>
      <c r="D70" s="90">
        <f t="shared" si="68"/>
        <v>5926</v>
      </c>
      <c r="E70" s="90">
        <f t="shared" si="68"/>
        <v>4243</v>
      </c>
      <c r="F70" s="90">
        <f t="shared" si="68"/>
        <v>853</v>
      </c>
      <c r="G70" s="90">
        <f t="shared" si="68"/>
        <v>218</v>
      </c>
      <c r="H70" s="90">
        <f t="shared" si="68"/>
        <v>612</v>
      </c>
    </row>
    <row r="71" spans="1:8">
      <c r="A71" s="75" t="s">
        <v>12</v>
      </c>
      <c r="B71" s="91">
        <f t="shared" ref="B71:H71" si="69">B70/B69*100</f>
        <v>69.086021505376337</v>
      </c>
      <c r="C71" s="91">
        <f t="shared" si="69"/>
        <v>58.59336789592097</v>
      </c>
      <c r="D71" s="91">
        <f t="shared" si="69"/>
        <v>65.156679494227603</v>
      </c>
      <c r="E71" s="91">
        <f t="shared" si="69"/>
        <v>68.127809890815669</v>
      </c>
      <c r="F71" s="91">
        <f t="shared" si="69"/>
        <v>55.678851174934728</v>
      </c>
      <c r="G71" s="91">
        <f t="shared" si="69"/>
        <v>105.31400966183575</v>
      </c>
      <c r="H71" s="91">
        <f t="shared" si="69"/>
        <v>54.255319148936167</v>
      </c>
    </row>
    <row r="72" spans="1:8">
      <c r="A72" s="75" t="s">
        <v>29</v>
      </c>
      <c r="B72" s="90">
        <f t="shared" ref="B72:H73" si="70">K35+S35+AK35</f>
        <v>245.3</v>
      </c>
      <c r="C72" s="90">
        <f t="shared" si="70"/>
        <v>17084</v>
      </c>
      <c r="D72" s="90">
        <f t="shared" si="70"/>
        <v>14539</v>
      </c>
      <c r="E72" s="90">
        <f t="shared" si="70"/>
        <v>676</v>
      </c>
      <c r="F72" s="90">
        <f t="shared" si="70"/>
        <v>4287</v>
      </c>
      <c r="G72" s="90">
        <f t="shared" si="70"/>
        <v>1040</v>
      </c>
      <c r="H72" s="90">
        <f t="shared" si="70"/>
        <v>8536</v>
      </c>
    </row>
    <row r="73" spans="1:8">
      <c r="A73" s="75" t="s">
        <v>48</v>
      </c>
      <c r="B73" s="90">
        <f t="shared" si="70"/>
        <v>200.4</v>
      </c>
      <c r="C73" s="90">
        <f t="shared" si="70"/>
        <v>15880</v>
      </c>
      <c r="D73" s="90">
        <f t="shared" si="70"/>
        <v>14726</v>
      </c>
      <c r="E73" s="90">
        <f t="shared" si="70"/>
        <v>219</v>
      </c>
      <c r="F73" s="90">
        <f t="shared" si="70"/>
        <v>4729</v>
      </c>
      <c r="G73" s="90">
        <f t="shared" si="70"/>
        <v>1737</v>
      </c>
      <c r="H73" s="90">
        <f t="shared" si="70"/>
        <v>8041</v>
      </c>
    </row>
    <row r="74" spans="1:8">
      <c r="A74" s="75" t="s">
        <v>12</v>
      </c>
      <c r="B74" s="91">
        <f t="shared" ref="B74:H74" si="71">B73/B72*100</f>
        <v>81.695882592743573</v>
      </c>
      <c r="C74" s="91">
        <f t="shared" si="71"/>
        <v>92.952470147506432</v>
      </c>
      <c r="D74" s="91">
        <f t="shared" si="71"/>
        <v>101.28619574936377</v>
      </c>
      <c r="E74" s="91">
        <f t="shared" si="71"/>
        <v>32.396449704142007</v>
      </c>
      <c r="F74" s="91">
        <f t="shared" si="71"/>
        <v>110.31024026125496</v>
      </c>
      <c r="G74" s="91">
        <f t="shared" si="71"/>
        <v>167.01923076923077</v>
      </c>
      <c r="H74" s="91">
        <f t="shared" si="71"/>
        <v>94.201030927835049</v>
      </c>
    </row>
    <row r="75" spans="1:8">
      <c r="A75" s="75" t="s">
        <v>31</v>
      </c>
      <c r="B75" s="90">
        <f t="shared" ref="B75:H76" si="72">K38+S38+AK38</f>
        <v>294</v>
      </c>
      <c r="C75" s="90">
        <f t="shared" si="72"/>
        <v>6311</v>
      </c>
      <c r="D75" s="90">
        <f t="shared" si="72"/>
        <v>4871</v>
      </c>
      <c r="E75" s="90">
        <f t="shared" si="72"/>
        <v>857</v>
      </c>
      <c r="F75" s="90">
        <f t="shared" si="72"/>
        <v>1422</v>
      </c>
      <c r="G75" s="90">
        <f t="shared" si="72"/>
        <v>192</v>
      </c>
      <c r="H75" s="90">
        <f t="shared" si="72"/>
        <v>2400</v>
      </c>
    </row>
    <row r="76" spans="1:8">
      <c r="A76" s="75" t="s">
        <v>52</v>
      </c>
      <c r="B76" s="90">
        <f t="shared" si="72"/>
        <v>199.8</v>
      </c>
      <c r="C76" s="90">
        <f t="shared" si="72"/>
        <v>8270</v>
      </c>
      <c r="D76" s="90">
        <f t="shared" si="72"/>
        <v>7160</v>
      </c>
      <c r="E76" s="90">
        <f t="shared" si="72"/>
        <v>1373</v>
      </c>
      <c r="F76" s="90">
        <f t="shared" si="72"/>
        <v>1516</v>
      </c>
      <c r="G76" s="90">
        <f t="shared" si="72"/>
        <v>182</v>
      </c>
      <c r="H76" s="90">
        <f t="shared" si="72"/>
        <v>4097</v>
      </c>
    </row>
    <row r="77" spans="1:8">
      <c r="A77" s="75" t="s">
        <v>12</v>
      </c>
      <c r="B77" s="91">
        <f t="shared" ref="B77:H77" si="73">B76/B75*100</f>
        <v>67.959183673469397</v>
      </c>
      <c r="C77" s="91">
        <f t="shared" si="73"/>
        <v>131.04103945492</v>
      </c>
      <c r="D77" s="91">
        <f t="shared" si="73"/>
        <v>146.9924040238144</v>
      </c>
      <c r="E77" s="91">
        <f t="shared" si="73"/>
        <v>160.2100350058343</v>
      </c>
      <c r="F77" s="91">
        <f t="shared" si="73"/>
        <v>106.61040787623067</v>
      </c>
      <c r="G77" s="91">
        <f t="shared" si="73"/>
        <v>94.791666666666657</v>
      </c>
      <c r="H77" s="91">
        <f t="shared" si="73"/>
        <v>170.70833333333331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74">B9-B46</f>
        <v>0</v>
      </c>
      <c r="C83" s="83">
        <f t="shared" si="74"/>
        <v>0</v>
      </c>
      <c r="D83" s="83">
        <f t="shared" si="74"/>
        <v>0</v>
      </c>
      <c r="E83" s="83">
        <f t="shared" si="74"/>
        <v>0</v>
      </c>
      <c r="F83" s="83">
        <f t="shared" si="74"/>
        <v>0</v>
      </c>
      <c r="G83" s="83">
        <f t="shared" si="74"/>
        <v>0</v>
      </c>
      <c r="H83" s="83">
        <f t="shared" si="74"/>
        <v>0</v>
      </c>
    </row>
    <row r="84" spans="1:8">
      <c r="A84" s="84" t="s">
        <v>50</v>
      </c>
      <c r="B84" s="83">
        <f t="shared" si="74"/>
        <v>0</v>
      </c>
      <c r="C84" s="83">
        <f t="shared" si="74"/>
        <v>0</v>
      </c>
      <c r="D84" s="83">
        <f t="shared" si="74"/>
        <v>10</v>
      </c>
      <c r="E84" s="83">
        <f t="shared" si="74"/>
        <v>0</v>
      </c>
      <c r="F84" s="83">
        <f t="shared" si="74"/>
        <v>0</v>
      </c>
      <c r="G84" s="83">
        <f t="shared" si="74"/>
        <v>0</v>
      </c>
      <c r="H84" s="83">
        <f t="shared" si="74"/>
        <v>0</v>
      </c>
    </row>
    <row r="85" spans="1:8">
      <c r="A85" s="85" t="s">
        <v>44</v>
      </c>
      <c r="B85" s="83">
        <f t="shared" si="74"/>
        <v>0</v>
      </c>
      <c r="C85" s="83">
        <f t="shared" si="74"/>
        <v>0</v>
      </c>
      <c r="D85" s="83">
        <f t="shared" si="74"/>
        <v>2.6997840172796828E-2</v>
      </c>
      <c r="E85" s="83">
        <f t="shared" si="74"/>
        <v>0</v>
      </c>
      <c r="F85" s="83">
        <f t="shared" si="74"/>
        <v>0</v>
      </c>
      <c r="G85" s="83">
        <f t="shared" si="74"/>
        <v>0</v>
      </c>
      <c r="H85" s="83">
        <f t="shared" si="74"/>
        <v>0</v>
      </c>
    </row>
    <row r="86" spans="1:8">
      <c r="A86" s="87" t="s">
        <v>11</v>
      </c>
      <c r="B86" s="83">
        <f t="shared" si="74"/>
        <v>0</v>
      </c>
      <c r="C86" s="83">
        <f t="shared" si="74"/>
        <v>0</v>
      </c>
      <c r="D86" s="83">
        <f t="shared" si="74"/>
        <v>0</v>
      </c>
      <c r="E86" s="83">
        <f t="shared" si="74"/>
        <v>0</v>
      </c>
      <c r="F86" s="83">
        <f t="shared" si="74"/>
        <v>0</v>
      </c>
      <c r="G86" s="83">
        <f t="shared" si="74"/>
        <v>0</v>
      </c>
      <c r="H86" s="83">
        <f t="shared" si="74"/>
        <v>0</v>
      </c>
    </row>
    <row r="87" spans="1:8">
      <c r="A87" s="75" t="s">
        <v>40</v>
      </c>
      <c r="B87" s="83">
        <f t="shared" si="74"/>
        <v>0</v>
      </c>
      <c r="C87" s="83">
        <f t="shared" si="74"/>
        <v>0</v>
      </c>
      <c r="D87" s="83">
        <f t="shared" si="74"/>
        <v>0</v>
      </c>
      <c r="E87" s="83">
        <f t="shared" si="74"/>
        <v>0</v>
      </c>
      <c r="F87" s="83">
        <f t="shared" si="74"/>
        <v>0</v>
      </c>
      <c r="G87" s="83">
        <f t="shared" si="74"/>
        <v>0</v>
      </c>
      <c r="H87" s="83">
        <f t="shared" si="74"/>
        <v>0</v>
      </c>
    </row>
    <row r="88" spans="1:8">
      <c r="A88" s="75" t="s">
        <v>50</v>
      </c>
      <c r="B88" s="83">
        <f t="shared" si="74"/>
        <v>0</v>
      </c>
      <c r="C88" s="83">
        <f t="shared" si="74"/>
        <v>0</v>
      </c>
      <c r="D88" s="83">
        <f t="shared" si="74"/>
        <v>0</v>
      </c>
      <c r="E88" s="83">
        <f t="shared" si="74"/>
        <v>0</v>
      </c>
      <c r="F88" s="83">
        <f t="shared" si="74"/>
        <v>0</v>
      </c>
      <c r="G88" s="83">
        <f t="shared" si="74"/>
        <v>0</v>
      </c>
      <c r="H88" s="83">
        <f t="shared" si="74"/>
        <v>0</v>
      </c>
    </row>
    <row r="89" spans="1:8">
      <c r="A89" s="75" t="s">
        <v>44</v>
      </c>
      <c r="B89" s="83">
        <f t="shared" si="74"/>
        <v>0</v>
      </c>
      <c r="C89" s="83">
        <f t="shared" si="74"/>
        <v>0</v>
      </c>
      <c r="D89" s="83">
        <f t="shared" si="74"/>
        <v>0</v>
      </c>
      <c r="E89" s="83">
        <f t="shared" si="74"/>
        <v>0</v>
      </c>
      <c r="F89" s="83">
        <f t="shared" si="74"/>
        <v>0</v>
      </c>
      <c r="G89" s="83">
        <f t="shared" si="74"/>
        <v>0</v>
      </c>
      <c r="H89" s="83">
        <f t="shared" si="74"/>
        <v>0</v>
      </c>
    </row>
    <row r="90" spans="1:8">
      <c r="A90" s="75" t="s">
        <v>13</v>
      </c>
      <c r="B90" s="83">
        <f t="shared" si="74"/>
        <v>0</v>
      </c>
      <c r="C90" s="83">
        <f t="shared" si="74"/>
        <v>0</v>
      </c>
      <c r="D90" s="83">
        <f t="shared" si="74"/>
        <v>0</v>
      </c>
      <c r="E90" s="83">
        <f t="shared" si="74"/>
        <v>0</v>
      </c>
      <c r="F90" s="83">
        <f t="shared" si="74"/>
        <v>0</v>
      </c>
      <c r="G90" s="83">
        <f t="shared" si="74"/>
        <v>0</v>
      </c>
      <c r="H90" s="83">
        <f t="shared" si="74"/>
        <v>0</v>
      </c>
    </row>
    <row r="91" spans="1:8">
      <c r="A91" s="92" t="s">
        <v>14</v>
      </c>
      <c r="B91" s="83">
        <f t="shared" si="74"/>
        <v>0</v>
      </c>
      <c r="C91" s="83">
        <f t="shared" si="74"/>
        <v>0</v>
      </c>
      <c r="D91" s="83">
        <f t="shared" si="74"/>
        <v>0</v>
      </c>
      <c r="E91" s="83">
        <f t="shared" si="74"/>
        <v>0</v>
      </c>
      <c r="F91" s="83">
        <f t="shared" si="74"/>
        <v>0</v>
      </c>
      <c r="G91" s="83">
        <f t="shared" si="74"/>
        <v>0</v>
      </c>
      <c r="H91" s="83">
        <f t="shared" si="74"/>
        <v>0</v>
      </c>
    </row>
    <row r="92" spans="1:8">
      <c r="A92" s="75" t="s">
        <v>15</v>
      </c>
      <c r="B92" s="83">
        <f t="shared" si="74"/>
        <v>0</v>
      </c>
      <c r="C92" s="83">
        <f t="shared" si="74"/>
        <v>0</v>
      </c>
      <c r="D92" s="83">
        <f t="shared" si="74"/>
        <v>0</v>
      </c>
      <c r="E92" s="83">
        <f t="shared" si="74"/>
        <v>0</v>
      </c>
      <c r="F92" s="83">
        <f t="shared" si="74"/>
        <v>0</v>
      </c>
      <c r="G92" s="83">
        <f t="shared" si="74"/>
        <v>0</v>
      </c>
      <c r="H92" s="83">
        <f t="shared" si="74"/>
        <v>0</v>
      </c>
    </row>
    <row r="93" spans="1:8">
      <c r="A93" s="87" t="s">
        <v>16</v>
      </c>
      <c r="B93" s="83">
        <f t="shared" si="74"/>
        <v>0</v>
      </c>
      <c r="C93" s="83">
        <f t="shared" si="74"/>
        <v>0</v>
      </c>
      <c r="D93" s="83">
        <f t="shared" si="74"/>
        <v>0</v>
      </c>
      <c r="E93" s="83">
        <f t="shared" si="74"/>
        <v>0</v>
      </c>
      <c r="F93" s="83">
        <f t="shared" si="74"/>
        <v>0</v>
      </c>
      <c r="G93" s="83">
        <f t="shared" si="74"/>
        <v>0</v>
      </c>
      <c r="H93" s="83">
        <f t="shared" si="74"/>
        <v>0</v>
      </c>
    </row>
    <row r="94" spans="1:8">
      <c r="A94" s="75" t="s">
        <v>40</v>
      </c>
      <c r="B94" s="83">
        <f t="shared" si="74"/>
        <v>0</v>
      </c>
      <c r="C94" s="83">
        <f t="shared" si="74"/>
        <v>0</v>
      </c>
      <c r="D94" s="83">
        <f t="shared" si="74"/>
        <v>0</v>
      </c>
      <c r="E94" s="83">
        <f t="shared" si="74"/>
        <v>0</v>
      </c>
      <c r="F94" s="83">
        <f t="shared" si="74"/>
        <v>0</v>
      </c>
      <c r="G94" s="83">
        <f t="shared" si="74"/>
        <v>0</v>
      </c>
      <c r="H94" s="83">
        <f t="shared" si="74"/>
        <v>0</v>
      </c>
    </row>
    <row r="95" spans="1:8">
      <c r="A95" s="92" t="s">
        <v>50</v>
      </c>
      <c r="B95" s="83">
        <f t="shared" si="74"/>
        <v>0</v>
      </c>
      <c r="C95" s="83">
        <f t="shared" si="74"/>
        <v>0</v>
      </c>
      <c r="D95" s="83">
        <f t="shared" si="74"/>
        <v>10</v>
      </c>
      <c r="E95" s="83">
        <f t="shared" si="74"/>
        <v>0</v>
      </c>
      <c r="F95" s="83">
        <f t="shared" si="74"/>
        <v>0</v>
      </c>
      <c r="G95" s="83">
        <f t="shared" si="74"/>
        <v>0</v>
      </c>
      <c r="H95" s="83">
        <f t="shared" si="74"/>
        <v>0</v>
      </c>
    </row>
    <row r="96" spans="1:8">
      <c r="A96" s="75" t="s">
        <v>44</v>
      </c>
      <c r="B96" s="83">
        <f t="shared" si="74"/>
        <v>0</v>
      </c>
      <c r="C96" s="83">
        <f t="shared" si="74"/>
        <v>0</v>
      </c>
      <c r="D96" s="83">
        <f t="shared" si="74"/>
        <v>2.907483863465643E-2</v>
      </c>
      <c r="E96" s="83">
        <f t="shared" si="74"/>
        <v>0</v>
      </c>
      <c r="F96" s="83">
        <f t="shared" si="74"/>
        <v>0</v>
      </c>
      <c r="G96" s="83">
        <f t="shared" si="74"/>
        <v>0</v>
      </c>
      <c r="H96" s="83">
        <f t="shared" si="74"/>
        <v>0</v>
      </c>
    </row>
    <row r="97" spans="1:8">
      <c r="A97" s="75" t="s">
        <v>21</v>
      </c>
      <c r="B97" s="83">
        <f t="shared" si="74"/>
        <v>0</v>
      </c>
      <c r="C97" s="83">
        <f t="shared" si="74"/>
        <v>0</v>
      </c>
      <c r="D97" s="83">
        <f t="shared" si="74"/>
        <v>0</v>
      </c>
      <c r="E97" s="83">
        <f t="shared" si="74"/>
        <v>0</v>
      </c>
      <c r="F97" s="83">
        <f t="shared" si="74"/>
        <v>0</v>
      </c>
      <c r="G97" s="83">
        <f t="shared" si="74"/>
        <v>0</v>
      </c>
      <c r="H97" s="83">
        <f t="shared" si="74"/>
        <v>0</v>
      </c>
    </row>
    <row r="98" spans="1:8">
      <c r="A98" s="75" t="s">
        <v>51</v>
      </c>
      <c r="B98" s="83">
        <f t="shared" si="74"/>
        <v>0</v>
      </c>
      <c r="C98" s="83">
        <f t="shared" si="74"/>
        <v>0</v>
      </c>
      <c r="D98" s="83">
        <f t="shared" si="74"/>
        <v>0</v>
      </c>
      <c r="E98" s="83">
        <f t="shared" si="74"/>
        <v>0</v>
      </c>
      <c r="F98" s="83">
        <f t="shared" si="74"/>
        <v>0</v>
      </c>
      <c r="G98" s="83">
        <f t="shared" si="74"/>
        <v>0</v>
      </c>
      <c r="H98" s="83">
        <f t="shared" si="74"/>
        <v>0</v>
      </c>
    </row>
    <row r="99" spans="1:8">
      <c r="A99" s="75" t="s">
        <v>12</v>
      </c>
      <c r="B99" s="83" t="e">
        <f t="shared" ref="B99:H114" si="75">B25-B62</f>
        <v>#DIV/0!</v>
      </c>
      <c r="C99" s="83" t="e">
        <f t="shared" si="75"/>
        <v>#DIV/0!</v>
      </c>
      <c r="D99" s="83" t="e">
        <f t="shared" si="75"/>
        <v>#DIV/0!</v>
      </c>
      <c r="E99" s="83" t="e">
        <f t="shared" si="75"/>
        <v>#DIV/0!</v>
      </c>
      <c r="F99" s="83" t="e">
        <f t="shared" si="75"/>
        <v>#DIV/0!</v>
      </c>
      <c r="G99" s="83" t="e">
        <f t="shared" si="75"/>
        <v>#DIV/0!</v>
      </c>
      <c r="H99" s="83" t="e">
        <f t="shared" si="75"/>
        <v>#DIV/0!</v>
      </c>
    </row>
    <row r="100" spans="1:8">
      <c r="A100" s="75" t="s">
        <v>23</v>
      </c>
      <c r="B100" s="83">
        <f t="shared" si="75"/>
        <v>0</v>
      </c>
      <c r="C100" s="83">
        <f t="shared" si="75"/>
        <v>0</v>
      </c>
      <c r="D100" s="83">
        <f t="shared" si="75"/>
        <v>1</v>
      </c>
      <c r="E100" s="83">
        <f t="shared" si="75"/>
        <v>0</v>
      </c>
      <c r="F100" s="83">
        <f t="shared" si="75"/>
        <v>0</v>
      </c>
      <c r="G100" s="83">
        <f t="shared" si="75"/>
        <v>0</v>
      </c>
      <c r="H100" s="83">
        <f t="shared" si="75"/>
        <v>0</v>
      </c>
    </row>
    <row r="101" spans="1:8">
      <c r="A101" s="75" t="s">
        <v>45</v>
      </c>
      <c r="B101" s="83">
        <f t="shared" si="75"/>
        <v>0</v>
      </c>
      <c r="C101" s="83">
        <f t="shared" si="75"/>
        <v>0</v>
      </c>
      <c r="D101" s="83">
        <f t="shared" si="75"/>
        <v>2</v>
      </c>
      <c r="E101" s="83">
        <f t="shared" si="75"/>
        <v>0</v>
      </c>
      <c r="F101" s="83">
        <f t="shared" si="75"/>
        <v>0</v>
      </c>
      <c r="G101" s="83">
        <f t="shared" si="75"/>
        <v>0</v>
      </c>
      <c r="H101" s="83">
        <f t="shared" si="75"/>
        <v>0</v>
      </c>
    </row>
    <row r="102" spans="1:8">
      <c r="A102" s="75" t="s">
        <v>12</v>
      </c>
      <c r="B102" s="83">
        <f t="shared" si="75"/>
        <v>0</v>
      </c>
      <c r="C102" s="83">
        <f t="shared" si="75"/>
        <v>0</v>
      </c>
      <c r="D102" s="83">
        <f t="shared" si="75"/>
        <v>5.8806964069773926E-2</v>
      </c>
      <c r="E102" s="83">
        <f t="shared" si="75"/>
        <v>0</v>
      </c>
      <c r="F102" s="83">
        <f t="shared" si="75"/>
        <v>0</v>
      </c>
      <c r="G102" s="83">
        <f t="shared" si="75"/>
        <v>0</v>
      </c>
      <c r="H102" s="83">
        <f t="shared" si="75"/>
        <v>0</v>
      </c>
    </row>
    <row r="103" spans="1:8">
      <c r="A103" s="75" t="s">
        <v>25</v>
      </c>
      <c r="B103" s="83">
        <f t="shared" si="75"/>
        <v>0</v>
      </c>
      <c r="C103" s="83">
        <f t="shared" si="75"/>
        <v>0</v>
      </c>
      <c r="D103" s="83">
        <f t="shared" si="75"/>
        <v>0</v>
      </c>
      <c r="E103" s="83">
        <f t="shared" si="75"/>
        <v>0</v>
      </c>
      <c r="F103" s="83">
        <f t="shared" si="75"/>
        <v>0</v>
      </c>
      <c r="G103" s="83">
        <f t="shared" si="75"/>
        <v>0</v>
      </c>
      <c r="H103" s="83">
        <f t="shared" si="75"/>
        <v>0</v>
      </c>
    </row>
    <row r="104" spans="1:8">
      <c r="A104" s="75" t="s">
        <v>46</v>
      </c>
      <c r="B104" s="83">
        <f t="shared" si="75"/>
        <v>0</v>
      </c>
      <c r="C104" s="83">
        <f t="shared" si="75"/>
        <v>0</v>
      </c>
      <c r="D104" s="83">
        <f t="shared" si="75"/>
        <v>0</v>
      </c>
      <c r="E104" s="83">
        <f t="shared" si="75"/>
        <v>0</v>
      </c>
      <c r="F104" s="83">
        <f t="shared" si="75"/>
        <v>0</v>
      </c>
      <c r="G104" s="83">
        <f t="shared" si="75"/>
        <v>0</v>
      </c>
      <c r="H104" s="83">
        <f t="shared" si="75"/>
        <v>0</v>
      </c>
    </row>
    <row r="105" spans="1:8">
      <c r="A105" s="75" t="s">
        <v>12</v>
      </c>
      <c r="B105" s="83">
        <f t="shared" si="75"/>
        <v>0</v>
      </c>
      <c r="C105" s="83">
        <f t="shared" si="75"/>
        <v>0</v>
      </c>
      <c r="D105" s="83">
        <f t="shared" si="75"/>
        <v>0</v>
      </c>
      <c r="E105" s="83">
        <f t="shared" si="75"/>
        <v>0</v>
      </c>
      <c r="F105" s="83">
        <f t="shared" si="75"/>
        <v>0</v>
      </c>
      <c r="G105" s="83">
        <f t="shared" si="75"/>
        <v>0</v>
      </c>
      <c r="H105" s="83">
        <f t="shared" si="75"/>
        <v>0</v>
      </c>
    </row>
    <row r="106" spans="1:8">
      <c r="A106" s="75" t="s">
        <v>27</v>
      </c>
      <c r="B106" s="83">
        <f t="shared" si="75"/>
        <v>0</v>
      </c>
      <c r="C106" s="83">
        <f t="shared" si="75"/>
        <v>0</v>
      </c>
      <c r="D106" s="83">
        <f t="shared" si="75"/>
        <v>0</v>
      </c>
      <c r="E106" s="83">
        <f t="shared" si="75"/>
        <v>0</v>
      </c>
      <c r="F106" s="83">
        <f t="shared" si="75"/>
        <v>0</v>
      </c>
      <c r="G106" s="83">
        <f t="shared" si="75"/>
        <v>0</v>
      </c>
      <c r="H106" s="83">
        <f t="shared" si="75"/>
        <v>0</v>
      </c>
    </row>
    <row r="107" spans="1:8">
      <c r="A107" s="75" t="s">
        <v>47</v>
      </c>
      <c r="B107" s="83">
        <f t="shared" si="75"/>
        <v>0</v>
      </c>
      <c r="C107" s="83">
        <f t="shared" si="75"/>
        <v>0</v>
      </c>
      <c r="D107" s="83">
        <f t="shared" si="75"/>
        <v>0</v>
      </c>
      <c r="E107" s="83">
        <f t="shared" si="75"/>
        <v>0</v>
      </c>
      <c r="F107" s="83">
        <f t="shared" si="75"/>
        <v>0</v>
      </c>
      <c r="G107" s="83">
        <f t="shared" si="75"/>
        <v>0</v>
      </c>
      <c r="H107" s="83">
        <f t="shared" si="75"/>
        <v>0</v>
      </c>
    </row>
    <row r="108" spans="1:8">
      <c r="A108" s="75" t="s">
        <v>12</v>
      </c>
      <c r="B108" s="83">
        <f t="shared" si="75"/>
        <v>0</v>
      </c>
      <c r="C108" s="83">
        <f t="shared" si="75"/>
        <v>0</v>
      </c>
      <c r="D108" s="83">
        <f t="shared" si="75"/>
        <v>0</v>
      </c>
      <c r="E108" s="83">
        <f t="shared" si="75"/>
        <v>0</v>
      </c>
      <c r="F108" s="83">
        <f t="shared" si="75"/>
        <v>0</v>
      </c>
      <c r="G108" s="83">
        <f t="shared" si="75"/>
        <v>0</v>
      </c>
      <c r="H108" s="83">
        <f t="shared" si="75"/>
        <v>0</v>
      </c>
    </row>
    <row r="109" spans="1:8">
      <c r="A109" s="75" t="s">
        <v>29</v>
      </c>
      <c r="B109" s="83">
        <f t="shared" si="75"/>
        <v>0</v>
      </c>
      <c r="C109" s="83">
        <f t="shared" si="75"/>
        <v>0</v>
      </c>
      <c r="D109" s="83">
        <f t="shared" si="75"/>
        <v>0</v>
      </c>
      <c r="E109" s="83">
        <f t="shared" si="75"/>
        <v>0</v>
      </c>
      <c r="F109" s="83">
        <f t="shared" si="75"/>
        <v>0</v>
      </c>
      <c r="G109" s="83">
        <f t="shared" si="75"/>
        <v>0</v>
      </c>
      <c r="H109" s="83">
        <f t="shared" si="75"/>
        <v>0</v>
      </c>
    </row>
    <row r="110" spans="1:8">
      <c r="A110" s="75" t="s">
        <v>48</v>
      </c>
      <c r="B110" s="83">
        <f t="shared" si="75"/>
        <v>0</v>
      </c>
      <c r="C110" s="83">
        <f t="shared" si="75"/>
        <v>0</v>
      </c>
      <c r="D110" s="83">
        <f t="shared" si="75"/>
        <v>0</v>
      </c>
      <c r="E110" s="83">
        <f t="shared" si="75"/>
        <v>0</v>
      </c>
      <c r="F110" s="83">
        <f t="shared" si="75"/>
        <v>0</v>
      </c>
      <c r="G110" s="83">
        <f t="shared" si="75"/>
        <v>0</v>
      </c>
      <c r="H110" s="83">
        <f t="shared" si="75"/>
        <v>0</v>
      </c>
    </row>
    <row r="111" spans="1:8">
      <c r="A111" s="75" t="s">
        <v>12</v>
      </c>
      <c r="B111" s="83">
        <f t="shared" si="75"/>
        <v>0</v>
      </c>
      <c r="C111" s="83">
        <f t="shared" si="75"/>
        <v>0</v>
      </c>
      <c r="D111" s="83">
        <f t="shared" si="75"/>
        <v>0</v>
      </c>
      <c r="E111" s="83">
        <f t="shared" si="75"/>
        <v>0</v>
      </c>
      <c r="F111" s="83">
        <f t="shared" si="75"/>
        <v>0</v>
      </c>
      <c r="G111" s="83">
        <f t="shared" si="75"/>
        <v>0</v>
      </c>
      <c r="H111" s="83">
        <f t="shared" si="75"/>
        <v>0</v>
      </c>
    </row>
    <row r="112" spans="1:8">
      <c r="A112" s="75" t="s">
        <v>31</v>
      </c>
      <c r="B112" s="83">
        <f t="shared" si="75"/>
        <v>0</v>
      </c>
      <c r="C112" s="83">
        <f t="shared" si="75"/>
        <v>0</v>
      </c>
      <c r="D112" s="83">
        <f t="shared" si="75"/>
        <v>0</v>
      </c>
      <c r="E112" s="83">
        <f t="shared" si="75"/>
        <v>0</v>
      </c>
      <c r="F112" s="83">
        <f t="shared" si="75"/>
        <v>0</v>
      </c>
      <c r="G112" s="83">
        <f t="shared" si="75"/>
        <v>0</v>
      </c>
      <c r="H112" s="83">
        <f t="shared" si="75"/>
        <v>0</v>
      </c>
    </row>
    <row r="113" spans="1:8">
      <c r="A113" s="75" t="s">
        <v>52</v>
      </c>
      <c r="B113" s="83">
        <f t="shared" si="75"/>
        <v>0</v>
      </c>
      <c r="C113" s="83">
        <f t="shared" si="75"/>
        <v>0</v>
      </c>
      <c r="D113" s="83">
        <f t="shared" si="75"/>
        <v>8</v>
      </c>
      <c r="E113" s="83">
        <f t="shared" si="75"/>
        <v>0</v>
      </c>
      <c r="F113" s="83">
        <f t="shared" si="75"/>
        <v>0</v>
      </c>
      <c r="G113" s="83">
        <f t="shared" si="75"/>
        <v>0</v>
      </c>
      <c r="H113" s="83">
        <f t="shared" si="75"/>
        <v>0</v>
      </c>
    </row>
    <row r="114" spans="1:8">
      <c r="A114" s="75" t="s">
        <v>12</v>
      </c>
      <c r="B114" s="83">
        <f t="shared" si="75"/>
        <v>0</v>
      </c>
      <c r="C114" s="83">
        <f t="shared" si="75"/>
        <v>0</v>
      </c>
      <c r="D114" s="83">
        <f t="shared" si="75"/>
        <v>0.1642373229316263</v>
      </c>
      <c r="E114" s="83">
        <f t="shared" si="75"/>
        <v>0</v>
      </c>
      <c r="F114" s="83">
        <f t="shared" si="75"/>
        <v>0</v>
      </c>
      <c r="G114" s="83">
        <f t="shared" si="75"/>
        <v>0</v>
      </c>
      <c r="H114" s="83">
        <f t="shared" si="75"/>
        <v>0</v>
      </c>
    </row>
  </sheetData>
  <mergeCells count="18">
    <mergeCell ref="A1:H1"/>
    <mergeCell ref="E2:H2"/>
    <mergeCell ref="A3:H3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  <mergeCell ref="A19:H19"/>
    <mergeCell ref="J19:Q19"/>
    <mergeCell ref="R19:Y19"/>
    <mergeCell ref="AA19:AH19"/>
    <mergeCell ref="AJ19:AQ19"/>
  </mergeCells>
  <phoneticPr fontId="17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AU114"/>
  <sheetViews>
    <sheetView zoomScale="70" zoomScaleNormal="70" workbookViewId="0">
      <selection activeCell="A9" sqref="A9:AQ40"/>
    </sheetView>
  </sheetViews>
  <sheetFormatPr defaultRowHeight="13.2"/>
  <cols>
    <col min="1" max="1" width="15.109375" customWidth="1"/>
    <col min="2" max="2" width="7.33203125" customWidth="1"/>
    <col min="3" max="3" width="7.6640625" customWidth="1"/>
    <col min="5" max="5" width="6.6640625" customWidth="1"/>
    <col min="6" max="6" width="7.33203125" customWidth="1"/>
    <col min="7" max="7" width="7.6640625" customWidth="1"/>
    <col min="8" max="8" width="7.88671875" customWidth="1"/>
    <col min="9" max="9" width="4.88671875" customWidth="1"/>
    <col min="10" max="10" width="14.109375" customWidth="1"/>
    <col min="11" max="11" width="7.109375" customWidth="1"/>
    <col min="12" max="12" width="7.33203125" customWidth="1"/>
    <col min="14" max="14" width="6" customWidth="1"/>
    <col min="15" max="15" width="7.5546875" customWidth="1"/>
    <col min="16" max="16" width="7.88671875" customWidth="1"/>
    <col min="17" max="17" width="7" customWidth="1"/>
    <col min="18" max="18" width="14.5546875" customWidth="1"/>
    <col min="19" max="19" width="6.88671875" customWidth="1"/>
    <col min="20" max="20" width="7.33203125" customWidth="1"/>
    <col min="22" max="22" width="6.88671875" customWidth="1"/>
    <col min="23" max="23" width="7.5546875" customWidth="1"/>
    <col min="24" max="24" width="8.33203125" customWidth="1"/>
    <col min="25" max="25" width="7.33203125" customWidth="1"/>
    <col min="26" max="26" width="4.33203125" customWidth="1"/>
    <col min="27" max="27" width="14.88671875" customWidth="1"/>
    <col min="28" max="28" width="7" customWidth="1"/>
    <col min="29" max="29" width="8.109375" customWidth="1"/>
    <col min="31" max="31" width="7.33203125" customWidth="1"/>
    <col min="32" max="32" width="7.5546875" customWidth="1"/>
    <col min="33" max="33" width="7.88671875" customWidth="1"/>
    <col min="34" max="34" width="7" customWidth="1"/>
  </cols>
  <sheetData>
    <row r="1" spans="1:47" s="37" customFormat="1" ht="15.6">
      <c r="Q1" s="38" t="s">
        <v>33</v>
      </c>
    </row>
    <row r="2" spans="1:47" s="12" customFormat="1" ht="15.75" customHeight="1">
      <c r="H2" s="39" t="s">
        <v>34</v>
      </c>
    </row>
    <row r="3" spans="1:47" s="12" customFormat="1" ht="18.75" customHeight="1">
      <c r="H3" s="39" t="s">
        <v>42</v>
      </c>
    </row>
    <row r="4" spans="1:47" s="37" customFormat="1" ht="34.5" customHeight="1">
      <c r="A4" s="494" t="s">
        <v>89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7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</row>
    <row r="7" spans="1:47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</row>
    <row r="8" spans="1:47" s="115" customFormat="1">
      <c r="A8" s="467" t="s">
        <v>17</v>
      </c>
      <c r="B8" s="468"/>
      <c r="C8" s="468"/>
      <c r="D8" s="468"/>
      <c r="E8" s="468"/>
      <c r="F8" s="468"/>
      <c r="G8" s="468"/>
      <c r="H8" s="469"/>
      <c r="J8" s="467" t="s">
        <v>17</v>
      </c>
      <c r="K8" s="468"/>
      <c r="L8" s="468"/>
      <c r="M8" s="468"/>
      <c r="N8" s="468"/>
      <c r="O8" s="468"/>
      <c r="P8" s="468"/>
      <c r="Q8" s="469"/>
      <c r="R8" s="467" t="s">
        <v>17</v>
      </c>
      <c r="S8" s="468"/>
      <c r="T8" s="468"/>
      <c r="U8" s="468"/>
      <c r="V8" s="468"/>
      <c r="W8" s="468"/>
      <c r="X8" s="468"/>
      <c r="Y8" s="469"/>
      <c r="AA8" s="467" t="s">
        <v>17</v>
      </c>
      <c r="AB8" s="468"/>
      <c r="AC8" s="468"/>
      <c r="AD8" s="468"/>
      <c r="AE8" s="468"/>
      <c r="AF8" s="468"/>
      <c r="AG8" s="468"/>
      <c r="AH8" s="469"/>
      <c r="AJ8" s="467" t="s">
        <v>17</v>
      </c>
      <c r="AK8" s="468"/>
      <c r="AL8" s="468"/>
      <c r="AM8" s="468"/>
      <c r="AN8" s="468"/>
      <c r="AO8" s="468"/>
      <c r="AP8" s="468"/>
      <c r="AQ8" s="469"/>
    </row>
    <row r="9" spans="1:47" s="115" customFormat="1">
      <c r="A9" s="33" t="s">
        <v>18</v>
      </c>
      <c r="B9" s="130">
        <f>SUM(B13,B20)</f>
        <v>550.1</v>
      </c>
      <c r="C9" s="131">
        <f>SUM(C13,C20)</f>
        <v>53938</v>
      </c>
      <c r="D9" s="131">
        <f>SUM(E9:H9)</f>
        <v>47114</v>
      </c>
      <c r="E9" s="131">
        <f t="shared" ref="E9:H10" si="0">SUM(E13,E20)</f>
        <v>14467</v>
      </c>
      <c r="F9" s="131">
        <f t="shared" si="0"/>
        <v>11035</v>
      </c>
      <c r="G9" s="131">
        <f t="shared" si="0"/>
        <v>1797</v>
      </c>
      <c r="H9" s="131">
        <f t="shared" si="0"/>
        <v>19815</v>
      </c>
      <c r="J9" s="33" t="s">
        <v>18</v>
      </c>
      <c r="K9" s="130">
        <f>SUM(K13,K20)</f>
        <v>105.30000000000001</v>
      </c>
      <c r="L9" s="131">
        <f>SUM(L13,L20)</f>
        <v>5115</v>
      </c>
      <c r="M9" s="131">
        <f>SUM(N9:Q9)</f>
        <v>4216</v>
      </c>
      <c r="N9" s="131">
        <f t="shared" ref="N9:Q10" si="1">SUM(N13,N20)</f>
        <v>651</v>
      </c>
      <c r="O9" s="131">
        <f t="shared" si="1"/>
        <v>1135</v>
      </c>
      <c r="P9" s="131">
        <f t="shared" si="1"/>
        <v>229</v>
      </c>
      <c r="Q9" s="131">
        <f t="shared" si="1"/>
        <v>2201</v>
      </c>
      <c r="R9" s="33" t="s">
        <v>18</v>
      </c>
      <c r="S9" s="130">
        <f>SUM(S13,S20)</f>
        <v>443.9</v>
      </c>
      <c r="T9" s="131">
        <f>SUM(T13,T20)</f>
        <v>48737</v>
      </c>
      <c r="U9" s="131">
        <f>SUM(V9:Y9)</f>
        <v>42824</v>
      </c>
      <c r="V9" s="131">
        <f t="shared" ref="V9:Y10" si="2">SUM(V13,V20)</f>
        <v>13803</v>
      </c>
      <c r="W9" s="131">
        <f t="shared" si="2"/>
        <v>9885</v>
      </c>
      <c r="X9" s="131">
        <f t="shared" si="2"/>
        <v>1564</v>
      </c>
      <c r="Y9" s="131">
        <f t="shared" si="2"/>
        <v>17572</v>
      </c>
      <c r="AA9" s="33" t="s">
        <v>18</v>
      </c>
      <c r="AB9" s="131">
        <f>SUM(AB13,AB20)</f>
        <v>122.5</v>
      </c>
      <c r="AC9" s="131">
        <f>SUM(AC13,AC20)</f>
        <v>23847</v>
      </c>
      <c r="AD9" s="131">
        <f>SUM(AE9:AH9)</f>
        <v>21167</v>
      </c>
      <c r="AE9" s="131">
        <f t="shared" ref="AE9:AH10" si="3">SUM(AE13,AE20)</f>
        <v>11966</v>
      </c>
      <c r="AF9" s="131">
        <f t="shared" si="3"/>
        <v>3800</v>
      </c>
      <c r="AG9" s="131">
        <f t="shared" si="3"/>
        <v>373</v>
      </c>
      <c r="AH9" s="131">
        <f t="shared" si="3"/>
        <v>5028</v>
      </c>
      <c r="AJ9" s="33" t="s">
        <v>18</v>
      </c>
      <c r="AK9" s="130">
        <f>SUM(AK13,AK23,AK26,AK29,AK32,AK36,AK35,AK38)</f>
        <v>0.9</v>
      </c>
      <c r="AL9" s="131">
        <f>SUM(AL13,AL20)</f>
        <v>86</v>
      </c>
      <c r="AM9" s="131">
        <f>SUM(AN9:AQ9)</f>
        <v>74</v>
      </c>
      <c r="AN9" s="131">
        <f t="shared" ref="AN9:AQ10" si="4">SUM(AN13,AN20)</f>
        <v>13</v>
      </c>
      <c r="AO9" s="131">
        <f t="shared" si="4"/>
        <v>15</v>
      </c>
      <c r="AP9" s="131">
        <f t="shared" si="4"/>
        <v>4</v>
      </c>
      <c r="AQ9" s="131">
        <f t="shared" si="4"/>
        <v>42</v>
      </c>
    </row>
    <row r="10" spans="1:47" s="115" customFormat="1">
      <c r="A10" s="7" t="s">
        <v>19</v>
      </c>
      <c r="B10" s="132">
        <f>SUM(B14,B21)</f>
        <v>433.79999999999995</v>
      </c>
      <c r="C10" s="133">
        <f>SUM(C14,C21)</f>
        <v>50997</v>
      </c>
      <c r="D10" s="133">
        <f>SUM(E10:H10)</f>
        <v>47285</v>
      </c>
      <c r="E10" s="133">
        <f t="shared" si="0"/>
        <v>18980</v>
      </c>
      <c r="F10" s="133">
        <f t="shared" si="0"/>
        <v>8023</v>
      </c>
      <c r="G10" s="133">
        <f t="shared" si="0"/>
        <v>1992</v>
      </c>
      <c r="H10" s="133">
        <f t="shared" si="0"/>
        <v>18290</v>
      </c>
      <c r="J10" s="7" t="s">
        <v>19</v>
      </c>
      <c r="K10" s="132">
        <f>SUM(K14,K21)</f>
        <v>109.3</v>
      </c>
      <c r="L10" s="133">
        <f>SUM(L14,L21)</f>
        <v>4264</v>
      </c>
      <c r="M10" s="133">
        <f>SUM(N10:Q10)</f>
        <v>4125</v>
      </c>
      <c r="N10" s="133">
        <f t="shared" si="1"/>
        <v>305</v>
      </c>
      <c r="O10" s="133">
        <f t="shared" si="1"/>
        <v>742</v>
      </c>
      <c r="P10" s="133">
        <f t="shared" si="1"/>
        <v>73</v>
      </c>
      <c r="Q10" s="133">
        <f t="shared" si="1"/>
        <v>3005</v>
      </c>
      <c r="R10" s="7" t="s">
        <v>19</v>
      </c>
      <c r="S10" s="133">
        <f>SUM(S14,S21)</f>
        <v>324.5</v>
      </c>
      <c r="T10" s="133">
        <f>SUM(T14,T21)</f>
        <v>46733</v>
      </c>
      <c r="U10" s="133">
        <f>SUM(V10:Y10)</f>
        <v>43160</v>
      </c>
      <c r="V10" s="133">
        <f t="shared" si="2"/>
        <v>18675</v>
      </c>
      <c r="W10" s="133">
        <f t="shared" si="2"/>
        <v>7281</v>
      </c>
      <c r="X10" s="133">
        <f t="shared" si="2"/>
        <v>1919</v>
      </c>
      <c r="Y10" s="133">
        <f t="shared" si="2"/>
        <v>15285</v>
      </c>
      <c r="AA10" s="7" t="s">
        <v>19</v>
      </c>
      <c r="AB10" s="132">
        <f>SUM(AB14,AB21)</f>
        <v>114.5</v>
      </c>
      <c r="AC10" s="133">
        <f>SUM(AC14,AC21)</f>
        <v>27088</v>
      </c>
      <c r="AD10" s="133">
        <f>SUM(AE10:AH10)</f>
        <v>25922</v>
      </c>
      <c r="AE10" s="133">
        <f t="shared" si="3"/>
        <v>17382</v>
      </c>
      <c r="AF10" s="133">
        <f t="shared" si="3"/>
        <v>2485</v>
      </c>
      <c r="AG10" s="133">
        <f t="shared" si="3"/>
        <v>941</v>
      </c>
      <c r="AH10" s="133">
        <f t="shared" si="3"/>
        <v>5114</v>
      </c>
      <c r="AJ10" s="7" t="s">
        <v>19</v>
      </c>
      <c r="AK10" s="132">
        <f>SUM(AK14,AK21)</f>
        <v>0</v>
      </c>
      <c r="AL10" s="133">
        <f>SUM(AL14,AL21)</f>
        <v>0</v>
      </c>
      <c r="AM10" s="133">
        <f>SUM(AN10:AQ10)</f>
        <v>0</v>
      </c>
      <c r="AN10" s="133">
        <f t="shared" si="4"/>
        <v>0</v>
      </c>
      <c r="AO10" s="133">
        <f t="shared" si="4"/>
        <v>0</v>
      </c>
      <c r="AP10" s="133">
        <f t="shared" si="4"/>
        <v>0</v>
      </c>
      <c r="AQ10" s="133">
        <f t="shared" si="4"/>
        <v>0</v>
      </c>
    </row>
    <row r="11" spans="1:47" s="115" customFormat="1">
      <c r="A11" s="33" t="s">
        <v>20</v>
      </c>
      <c r="B11" s="134">
        <f t="shared" ref="B11:H11" si="5">B10/B9%</f>
        <v>78.858389383748403</v>
      </c>
      <c r="C11" s="134">
        <f t="shared" si="5"/>
        <v>94.547443360895841</v>
      </c>
      <c r="D11" s="134">
        <f t="shared" si="5"/>
        <v>100.36294944177952</v>
      </c>
      <c r="E11" s="134">
        <f t="shared" si="5"/>
        <v>131.19513375267852</v>
      </c>
      <c r="F11" s="134">
        <f t="shared" si="5"/>
        <v>72.705029451744451</v>
      </c>
      <c r="G11" s="134">
        <f t="shared" si="5"/>
        <v>110.85141903171954</v>
      </c>
      <c r="H11" s="134">
        <f t="shared" si="5"/>
        <v>92.303810244764065</v>
      </c>
      <c r="J11" s="33" t="s">
        <v>20</v>
      </c>
      <c r="K11" s="132">
        <f t="shared" ref="K11:Q11" si="6">K10/K9%</f>
        <v>103.79867046533711</v>
      </c>
      <c r="L11" s="134">
        <f t="shared" si="6"/>
        <v>83.362658846529811</v>
      </c>
      <c r="M11" s="134">
        <f t="shared" si="6"/>
        <v>97.841555977229604</v>
      </c>
      <c r="N11" s="134">
        <f t="shared" si="6"/>
        <v>46.850998463901689</v>
      </c>
      <c r="O11" s="134">
        <f t="shared" si="6"/>
        <v>65.374449339207047</v>
      </c>
      <c r="P11" s="134">
        <f t="shared" si="6"/>
        <v>31.877729257641921</v>
      </c>
      <c r="Q11" s="134">
        <f t="shared" si="6"/>
        <v>136.52885052248976</v>
      </c>
      <c r="R11" s="33" t="s">
        <v>20</v>
      </c>
      <c r="S11" s="134">
        <f t="shared" ref="S11:Y11" si="7">S10/S9%</f>
        <v>73.102050011263799</v>
      </c>
      <c r="T11" s="134">
        <f t="shared" si="7"/>
        <v>95.888134271703223</v>
      </c>
      <c r="U11" s="134">
        <f t="shared" si="7"/>
        <v>100.78460676256304</v>
      </c>
      <c r="V11" s="134">
        <f t="shared" si="7"/>
        <v>135.2966746359487</v>
      </c>
      <c r="W11" s="134">
        <f t="shared" si="7"/>
        <v>73.65705614567527</v>
      </c>
      <c r="X11" s="134">
        <f t="shared" si="7"/>
        <v>122.69820971867007</v>
      </c>
      <c r="Y11" s="134">
        <f t="shared" si="7"/>
        <v>86.984976098338265</v>
      </c>
      <c r="AA11" s="33" t="s">
        <v>20</v>
      </c>
      <c r="AB11" s="134">
        <f t="shared" ref="AB11:AH11" si="8">AB10/AB9%</f>
        <v>93.469387755102034</v>
      </c>
      <c r="AC11" s="134">
        <f t="shared" si="8"/>
        <v>113.59080806810081</v>
      </c>
      <c r="AD11" s="134">
        <f t="shared" si="8"/>
        <v>122.46421316199745</v>
      </c>
      <c r="AE11" s="134">
        <f t="shared" si="8"/>
        <v>145.26157446097275</v>
      </c>
      <c r="AF11" s="134">
        <f t="shared" si="8"/>
        <v>65.39473684210526</v>
      </c>
      <c r="AG11" s="134">
        <f t="shared" si="8"/>
        <v>252.27882037533513</v>
      </c>
      <c r="AH11" s="134">
        <f t="shared" si="8"/>
        <v>101.7104216388226</v>
      </c>
      <c r="AJ11" s="33" t="s">
        <v>20</v>
      </c>
      <c r="AK11" s="134">
        <f t="shared" ref="AK11:AQ11" si="9">AK10/AK9%</f>
        <v>0</v>
      </c>
      <c r="AL11" s="134">
        <f t="shared" si="9"/>
        <v>0</v>
      </c>
      <c r="AM11" s="134">
        <f t="shared" si="9"/>
        <v>0</v>
      </c>
      <c r="AN11" s="134">
        <f t="shared" si="9"/>
        <v>0</v>
      </c>
      <c r="AO11" s="134">
        <f t="shared" si="9"/>
        <v>0</v>
      </c>
      <c r="AP11" s="134">
        <f t="shared" si="9"/>
        <v>0</v>
      </c>
      <c r="AQ11" s="134">
        <f t="shared" si="9"/>
        <v>0</v>
      </c>
    </row>
    <row r="12" spans="1:47" s="203" customFormat="1" ht="12.75" customHeight="1">
      <c r="A12" s="461" t="s">
        <v>11</v>
      </c>
      <c r="B12" s="462"/>
      <c r="C12" s="462"/>
      <c r="D12" s="462"/>
      <c r="E12" s="462"/>
      <c r="F12" s="462"/>
      <c r="G12" s="462"/>
      <c r="H12" s="463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AA12" s="461" t="s">
        <v>11</v>
      </c>
      <c r="AB12" s="462"/>
      <c r="AC12" s="462"/>
      <c r="AD12" s="462"/>
      <c r="AE12" s="462"/>
      <c r="AF12" s="462"/>
      <c r="AG12" s="462"/>
      <c r="AH12" s="463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47" s="203" customFormat="1">
      <c r="A13" s="244" t="s">
        <v>18</v>
      </c>
      <c r="B13" s="130">
        <f>SUM(K13,S13,AK13)</f>
        <v>28.099999999999998</v>
      </c>
      <c r="C13" s="135">
        <f>SUM(L13,T13,AL13)</f>
        <v>1862</v>
      </c>
      <c r="D13" s="131">
        <f>SUM(E13:H13)</f>
        <v>1382</v>
      </c>
      <c r="E13" s="135">
        <f t="shared" ref="E13:H14" si="10">SUM(N13,V13,AN13)</f>
        <v>242</v>
      </c>
      <c r="F13" s="135">
        <f t="shared" si="10"/>
        <v>575</v>
      </c>
      <c r="G13" s="135">
        <f t="shared" si="10"/>
        <v>79</v>
      </c>
      <c r="H13" s="135">
        <f t="shared" si="10"/>
        <v>486</v>
      </c>
      <c r="J13" s="244" t="s">
        <v>18</v>
      </c>
      <c r="K13" s="136">
        <v>8.6999999999999993</v>
      </c>
      <c r="L13" s="137">
        <v>548</v>
      </c>
      <c r="M13" s="131">
        <f>SUM(N13:Q13)</f>
        <v>382</v>
      </c>
      <c r="N13" s="137">
        <v>44</v>
      </c>
      <c r="O13" s="137">
        <v>181</v>
      </c>
      <c r="P13" s="137">
        <v>39</v>
      </c>
      <c r="Q13" s="137">
        <v>118</v>
      </c>
      <c r="R13" s="244" t="s">
        <v>18</v>
      </c>
      <c r="S13" s="136">
        <v>19.399999999999999</v>
      </c>
      <c r="T13" s="137">
        <v>1314</v>
      </c>
      <c r="U13" s="131">
        <f>SUM(V13:Y13)</f>
        <v>1000</v>
      </c>
      <c r="V13" s="137">
        <v>198</v>
      </c>
      <c r="W13" s="137">
        <v>394</v>
      </c>
      <c r="X13" s="137">
        <v>40</v>
      </c>
      <c r="Y13" s="137">
        <v>368</v>
      </c>
      <c r="AA13" s="244" t="s">
        <v>18</v>
      </c>
      <c r="AB13" s="137">
        <v>19.399999999999999</v>
      </c>
      <c r="AC13" s="137">
        <v>1314</v>
      </c>
      <c r="AD13" s="131">
        <f>SUM(AE13:AH13)</f>
        <v>1000</v>
      </c>
      <c r="AE13" s="137">
        <v>198</v>
      </c>
      <c r="AF13" s="137">
        <v>394</v>
      </c>
      <c r="AG13" s="137">
        <v>40</v>
      </c>
      <c r="AH13" s="137">
        <v>368</v>
      </c>
      <c r="AJ13" s="244" t="s">
        <v>18</v>
      </c>
      <c r="AK13" s="136"/>
      <c r="AL13" s="137"/>
      <c r="AM13" s="131">
        <f>SUM(AN13:AQ13)</f>
        <v>0</v>
      </c>
      <c r="AN13" s="137"/>
      <c r="AO13" s="137"/>
      <c r="AP13" s="137"/>
      <c r="AQ13" s="137"/>
    </row>
    <row r="14" spans="1:47" s="203" customFormat="1">
      <c r="A14" s="18" t="s">
        <v>19</v>
      </c>
      <c r="B14" s="132">
        <f>SUM(K14,S14,AK14)</f>
        <v>25.4</v>
      </c>
      <c r="C14" s="134">
        <f>SUM(L14,T14,AL14)</f>
        <v>829</v>
      </c>
      <c r="D14" s="133">
        <f>SUM(E14:H14)</f>
        <v>743</v>
      </c>
      <c r="E14" s="134">
        <f t="shared" si="10"/>
        <v>87</v>
      </c>
      <c r="F14" s="134">
        <f t="shared" si="10"/>
        <v>145</v>
      </c>
      <c r="G14" s="134">
        <f t="shared" si="10"/>
        <v>9</v>
      </c>
      <c r="H14" s="134">
        <f t="shared" si="10"/>
        <v>502</v>
      </c>
      <c r="J14" s="18" t="s">
        <v>19</v>
      </c>
      <c r="K14" s="22">
        <v>10.3</v>
      </c>
      <c r="L14" s="43">
        <v>261</v>
      </c>
      <c r="M14" s="133">
        <f>SUM(N14:Q14)</f>
        <v>231</v>
      </c>
      <c r="N14" s="43">
        <v>19</v>
      </c>
      <c r="O14" s="43">
        <v>58</v>
      </c>
      <c r="P14" s="43">
        <v>5</v>
      </c>
      <c r="Q14" s="43">
        <v>149</v>
      </c>
      <c r="R14" s="18" t="s">
        <v>19</v>
      </c>
      <c r="S14" s="22">
        <v>15.1</v>
      </c>
      <c r="T14" s="43">
        <v>568</v>
      </c>
      <c r="U14" s="133">
        <f>SUM(V14:Y14)</f>
        <v>512</v>
      </c>
      <c r="V14" s="43">
        <v>68</v>
      </c>
      <c r="W14" s="43">
        <v>87</v>
      </c>
      <c r="X14" s="43">
        <v>4</v>
      </c>
      <c r="Y14" s="43">
        <v>353</v>
      </c>
      <c r="AA14" s="18" t="s">
        <v>19</v>
      </c>
      <c r="AB14" s="43">
        <v>15.1</v>
      </c>
      <c r="AC14" s="43">
        <v>568</v>
      </c>
      <c r="AD14" s="133">
        <f>SUM(AE14:AH14)</f>
        <v>512</v>
      </c>
      <c r="AE14" s="43">
        <v>68</v>
      </c>
      <c r="AF14" s="43">
        <v>87</v>
      </c>
      <c r="AG14" s="43">
        <v>4</v>
      </c>
      <c r="AH14" s="43">
        <v>353</v>
      </c>
      <c r="AJ14" s="18" t="s">
        <v>19</v>
      </c>
      <c r="AK14" s="43"/>
      <c r="AL14" s="43"/>
      <c r="AM14" s="133">
        <f>SUM(AN14:AQ14)</f>
        <v>0</v>
      </c>
      <c r="AN14" s="43"/>
      <c r="AO14" s="43"/>
      <c r="AP14" s="43"/>
      <c r="AQ14" s="43"/>
    </row>
    <row r="15" spans="1:47" s="203" customFormat="1">
      <c r="A15" s="244" t="s">
        <v>20</v>
      </c>
      <c r="B15" s="132">
        <f t="shared" ref="B15:H15" si="11">B14/B13%</f>
        <v>90.391459074733106</v>
      </c>
      <c r="C15" s="134">
        <f t="shared" si="11"/>
        <v>44.522019334049403</v>
      </c>
      <c r="D15" s="134">
        <f t="shared" si="11"/>
        <v>53.762662807525324</v>
      </c>
      <c r="E15" s="134">
        <f t="shared" si="11"/>
        <v>35.950413223140494</v>
      </c>
      <c r="F15" s="134">
        <f t="shared" si="11"/>
        <v>25.217391304347824</v>
      </c>
      <c r="G15" s="134">
        <f t="shared" si="11"/>
        <v>11.39240506329114</v>
      </c>
      <c r="H15" s="134">
        <f t="shared" si="11"/>
        <v>103.29218106995884</v>
      </c>
      <c r="J15" s="244" t="s">
        <v>20</v>
      </c>
      <c r="K15" s="132">
        <f t="shared" ref="K15:Q15" si="12">K14/K13%</f>
        <v>118.39080459770116</v>
      </c>
      <c r="L15" s="134">
        <f t="shared" si="12"/>
        <v>47.627737226277368</v>
      </c>
      <c r="M15" s="134">
        <f t="shared" si="12"/>
        <v>60.471204188481678</v>
      </c>
      <c r="N15" s="134">
        <f t="shared" si="12"/>
        <v>43.18181818181818</v>
      </c>
      <c r="O15" s="134">
        <f t="shared" si="12"/>
        <v>32.044198895027627</v>
      </c>
      <c r="P15" s="134">
        <f t="shared" si="12"/>
        <v>12.820512820512819</v>
      </c>
      <c r="Q15" s="134">
        <f t="shared" si="12"/>
        <v>126.27118644067798</v>
      </c>
      <c r="R15" s="244" t="s">
        <v>20</v>
      </c>
      <c r="S15" s="134">
        <f t="shared" ref="S15:Y15" si="13">S14/S13%</f>
        <v>77.835051546391753</v>
      </c>
      <c r="T15" s="134">
        <f t="shared" si="13"/>
        <v>43.226788432267881</v>
      </c>
      <c r="U15" s="134">
        <f t="shared" si="13"/>
        <v>51.2</v>
      </c>
      <c r="V15" s="134">
        <f t="shared" si="13"/>
        <v>34.343434343434346</v>
      </c>
      <c r="W15" s="134">
        <f t="shared" si="13"/>
        <v>22.081218274111677</v>
      </c>
      <c r="X15" s="134">
        <f t="shared" si="13"/>
        <v>10</v>
      </c>
      <c r="Y15" s="134">
        <f t="shared" si="13"/>
        <v>95.923913043478251</v>
      </c>
      <c r="AA15" s="244" t="s">
        <v>20</v>
      </c>
      <c r="AB15" s="134">
        <f t="shared" ref="AB15:AH15" si="14">AB14/AB13%</f>
        <v>77.835051546391753</v>
      </c>
      <c r="AC15" s="134">
        <f t="shared" si="14"/>
        <v>43.226788432267881</v>
      </c>
      <c r="AD15" s="134">
        <f t="shared" si="14"/>
        <v>51.2</v>
      </c>
      <c r="AE15" s="134">
        <f t="shared" si="14"/>
        <v>34.343434343434346</v>
      </c>
      <c r="AF15" s="134">
        <f t="shared" si="14"/>
        <v>22.081218274111677</v>
      </c>
      <c r="AG15" s="134">
        <f t="shared" si="14"/>
        <v>10</v>
      </c>
      <c r="AH15" s="134">
        <f t="shared" si="14"/>
        <v>95.923913043478251</v>
      </c>
      <c r="AJ15" s="244" t="s">
        <v>20</v>
      </c>
      <c r="AK15" s="134" t="e">
        <f t="shared" ref="AK15:AQ15" si="15">AK14/AK13%</f>
        <v>#DIV/0!</v>
      </c>
      <c r="AL15" s="134" t="e">
        <f t="shared" si="15"/>
        <v>#DIV/0!</v>
      </c>
      <c r="AM15" s="134" t="e">
        <f t="shared" si="15"/>
        <v>#DIV/0!</v>
      </c>
      <c r="AN15" s="134" t="e">
        <f t="shared" si="15"/>
        <v>#DIV/0!</v>
      </c>
      <c r="AO15" s="134" t="e">
        <f t="shared" si="15"/>
        <v>#DIV/0!</v>
      </c>
      <c r="AP15" s="134" t="e">
        <f t="shared" si="15"/>
        <v>#DIV/0!</v>
      </c>
      <c r="AQ15" s="134" t="e">
        <f t="shared" si="15"/>
        <v>#DIV/0!</v>
      </c>
    </row>
    <row r="16" spans="1:47" s="203" customFormat="1">
      <c r="A16" s="6" t="s">
        <v>13</v>
      </c>
      <c r="B16" s="138">
        <f t="shared" ref="B16:C18" si="16">SUM(K16,S16,AK16)</f>
        <v>0.2</v>
      </c>
      <c r="C16" s="139">
        <f t="shared" si="16"/>
        <v>29</v>
      </c>
      <c r="D16" s="140">
        <f>SUM(E16:H16)</f>
        <v>26</v>
      </c>
      <c r="E16" s="139">
        <f t="shared" ref="E16:H18" si="17">SUM(N16,V16,AN16)</f>
        <v>8</v>
      </c>
      <c r="F16" s="139">
        <f t="shared" si="17"/>
        <v>0</v>
      </c>
      <c r="G16" s="139">
        <f t="shared" si="17"/>
        <v>0</v>
      </c>
      <c r="H16" s="139">
        <f t="shared" si="17"/>
        <v>18</v>
      </c>
      <c r="J16" s="6" t="s">
        <v>13</v>
      </c>
      <c r="K16" s="244"/>
      <c r="L16" s="244"/>
      <c r="M16" s="244">
        <f>SUM(N16:Q16)</f>
        <v>0</v>
      </c>
      <c r="N16" s="244"/>
      <c r="O16" s="244"/>
      <c r="P16" s="244"/>
      <c r="Q16" s="244"/>
      <c r="R16" s="6" t="s">
        <v>13</v>
      </c>
      <c r="S16" s="244">
        <v>0.2</v>
      </c>
      <c r="T16" s="244">
        <v>29</v>
      </c>
      <c r="U16" s="141">
        <f>SUM(V16:Y16)</f>
        <v>26</v>
      </c>
      <c r="V16" s="244">
        <v>8</v>
      </c>
      <c r="W16" s="244"/>
      <c r="X16" s="244"/>
      <c r="Y16" s="244">
        <v>18</v>
      </c>
      <c r="AA16" s="6" t="s">
        <v>13</v>
      </c>
      <c r="AB16" s="244">
        <v>0.2</v>
      </c>
      <c r="AC16" s="244">
        <v>29</v>
      </c>
      <c r="AD16" s="141">
        <f>SUM(AE16:AH16)</f>
        <v>26</v>
      </c>
      <c r="AE16" s="244">
        <v>8</v>
      </c>
      <c r="AF16" s="244"/>
      <c r="AG16" s="244"/>
      <c r="AH16" s="244">
        <v>18</v>
      </c>
      <c r="AJ16" s="6" t="s">
        <v>13</v>
      </c>
      <c r="AK16" s="244"/>
      <c r="AL16" s="244"/>
      <c r="AM16" s="141">
        <f>SUM(AN16:AQ16)</f>
        <v>0</v>
      </c>
      <c r="AN16" s="244"/>
      <c r="AO16" s="244"/>
      <c r="AP16" s="244"/>
      <c r="AQ16" s="244"/>
    </row>
    <row r="17" spans="1:43" s="203" customFormat="1">
      <c r="A17" s="6" t="s">
        <v>14</v>
      </c>
      <c r="B17" s="138">
        <f t="shared" si="16"/>
        <v>0</v>
      </c>
      <c r="C17" s="139">
        <f t="shared" si="16"/>
        <v>0</v>
      </c>
      <c r="D17" s="140">
        <f>SUM(E17:H17)</f>
        <v>0</v>
      </c>
      <c r="E17" s="139">
        <f t="shared" si="17"/>
        <v>0</v>
      </c>
      <c r="F17" s="139">
        <f t="shared" si="17"/>
        <v>0</v>
      </c>
      <c r="G17" s="139">
        <f t="shared" si="17"/>
        <v>0</v>
      </c>
      <c r="H17" s="139">
        <f t="shared" si="17"/>
        <v>0</v>
      </c>
      <c r="J17" s="6" t="s">
        <v>14</v>
      </c>
      <c r="K17" s="244"/>
      <c r="L17" s="244"/>
      <c r="M17" s="244">
        <f>SUM(N17:Q17)</f>
        <v>0</v>
      </c>
      <c r="N17" s="244"/>
      <c r="O17" s="244"/>
      <c r="P17" s="244"/>
      <c r="Q17" s="244"/>
      <c r="R17" s="6" t="s">
        <v>14</v>
      </c>
      <c r="S17" s="244"/>
      <c r="T17" s="244"/>
      <c r="U17" s="141">
        <f>SUM(V17:Y17)</f>
        <v>0</v>
      </c>
      <c r="V17" s="244"/>
      <c r="W17" s="244"/>
      <c r="X17" s="244"/>
      <c r="Y17" s="244"/>
      <c r="AA17" s="6" t="s">
        <v>14</v>
      </c>
      <c r="AB17" s="244"/>
      <c r="AC17" s="244"/>
      <c r="AD17" s="141">
        <f>SUM(AE17:AH17)</f>
        <v>0</v>
      </c>
      <c r="AE17" s="244"/>
      <c r="AF17" s="244"/>
      <c r="AG17" s="244"/>
      <c r="AH17" s="244"/>
      <c r="AJ17" s="6" t="s">
        <v>14</v>
      </c>
      <c r="AK17" s="244"/>
      <c r="AL17" s="244"/>
      <c r="AM17" s="141">
        <f>SUM(AN17:AQ17)</f>
        <v>0</v>
      </c>
      <c r="AN17" s="244"/>
      <c r="AO17" s="244"/>
      <c r="AP17" s="244"/>
      <c r="AQ17" s="244"/>
    </row>
    <row r="18" spans="1:43">
      <c r="A18" s="6" t="s">
        <v>15</v>
      </c>
      <c r="B18" s="138">
        <f t="shared" si="16"/>
        <v>0</v>
      </c>
      <c r="C18" s="139">
        <f t="shared" si="16"/>
        <v>0</v>
      </c>
      <c r="D18" s="140">
        <f>SUM(E18:H18)</f>
        <v>0</v>
      </c>
      <c r="E18" s="139">
        <f t="shared" si="17"/>
        <v>0</v>
      </c>
      <c r="F18" s="139">
        <f t="shared" si="17"/>
        <v>0</v>
      </c>
      <c r="G18" s="139">
        <f t="shared" si="17"/>
        <v>0</v>
      </c>
      <c r="H18" s="139">
        <f t="shared" si="17"/>
        <v>0</v>
      </c>
      <c r="J18" s="6" t="s">
        <v>15</v>
      </c>
      <c r="K18" s="244"/>
      <c r="L18" s="244"/>
      <c r="M18" s="244">
        <f>SUM(N18:Q18)</f>
        <v>0</v>
      </c>
      <c r="N18" s="244"/>
      <c r="O18" s="244"/>
      <c r="P18" s="244"/>
      <c r="Q18" s="244"/>
      <c r="R18" s="6" t="s">
        <v>15</v>
      </c>
      <c r="S18" s="244"/>
      <c r="T18" s="244"/>
      <c r="U18" s="141">
        <f>SUM(V18:Y18)</f>
        <v>0</v>
      </c>
      <c r="V18" s="244"/>
      <c r="W18" s="244"/>
      <c r="X18" s="244"/>
      <c r="Y18" s="244"/>
      <c r="Z18" s="203"/>
      <c r="AA18" s="6" t="s">
        <v>15</v>
      </c>
      <c r="AB18" s="244"/>
      <c r="AC18" s="244"/>
      <c r="AD18" s="141">
        <f>SUM(AE18:AH18)</f>
        <v>0</v>
      </c>
      <c r="AE18" s="244"/>
      <c r="AF18" s="244"/>
      <c r="AG18" s="244"/>
      <c r="AH18" s="244"/>
      <c r="AI18" s="203"/>
      <c r="AJ18" s="6" t="s">
        <v>15</v>
      </c>
      <c r="AK18" s="244"/>
      <c r="AL18" s="244"/>
      <c r="AM18" s="141">
        <f>SUM(AN18:AQ18)</f>
        <v>0</v>
      </c>
      <c r="AN18" s="244"/>
      <c r="AO18" s="244"/>
      <c r="AP18" s="244"/>
      <c r="AQ18" s="244"/>
    </row>
    <row r="19" spans="1:43" ht="12.75" customHeight="1">
      <c r="A19" s="461" t="s">
        <v>16</v>
      </c>
      <c r="B19" s="462"/>
      <c r="C19" s="462"/>
      <c r="D19" s="462"/>
      <c r="E19" s="462"/>
      <c r="F19" s="462"/>
      <c r="G19" s="462"/>
      <c r="H19" s="463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Z19" s="203"/>
      <c r="AA19" s="461" t="s">
        <v>16</v>
      </c>
      <c r="AB19" s="462"/>
      <c r="AC19" s="462"/>
      <c r="AD19" s="462"/>
      <c r="AE19" s="462"/>
      <c r="AF19" s="462"/>
      <c r="AG19" s="462"/>
      <c r="AH19" s="463"/>
      <c r="AI19" s="203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4" t="s">
        <v>18</v>
      </c>
      <c r="B20" s="130">
        <f>SUM(B23,B26,B29,B32,B35,B38)</f>
        <v>522</v>
      </c>
      <c r="C20" s="131">
        <f>SUM(C23,C26,C29,C32,C35,C38)</f>
        <v>52076</v>
      </c>
      <c r="D20" s="131">
        <f>SUM(E20:H20)</f>
        <v>45732</v>
      </c>
      <c r="E20" s="131">
        <f t="shared" ref="E20:H21" si="18">SUM(E23,E26,E29,E32,E35,E38)</f>
        <v>14225</v>
      </c>
      <c r="F20" s="131">
        <f t="shared" si="18"/>
        <v>10460</v>
      </c>
      <c r="G20" s="131">
        <f t="shared" si="18"/>
        <v>1718</v>
      </c>
      <c r="H20" s="131">
        <f t="shared" si="18"/>
        <v>19329</v>
      </c>
      <c r="J20" s="244" t="s">
        <v>18</v>
      </c>
      <c r="K20" s="130">
        <f>SUM(K23,K26,K29,K32,K35,K38)</f>
        <v>96.600000000000009</v>
      </c>
      <c r="L20" s="131">
        <f t="shared" ref="L20:Q21" si="19">SUM(L23,L26,L29,L32,L35,L38)</f>
        <v>4567</v>
      </c>
      <c r="M20" s="131">
        <f>SUM(N20:Q20)</f>
        <v>3834</v>
      </c>
      <c r="N20" s="131">
        <f t="shared" si="19"/>
        <v>607</v>
      </c>
      <c r="O20" s="131">
        <f t="shared" si="19"/>
        <v>954</v>
      </c>
      <c r="P20" s="131">
        <f t="shared" si="19"/>
        <v>190</v>
      </c>
      <c r="Q20" s="131">
        <f t="shared" si="19"/>
        <v>2083</v>
      </c>
      <c r="R20" s="244" t="s">
        <v>18</v>
      </c>
      <c r="S20" s="130">
        <f>SUM(S23,S26,S29,S32,S35,S38)</f>
        <v>424.5</v>
      </c>
      <c r="T20" s="131">
        <f>SUM(T23,T26,T29,T32,T35,T38)</f>
        <v>47423</v>
      </c>
      <c r="U20" s="131">
        <f>SUM(V20:Y20)</f>
        <v>41824</v>
      </c>
      <c r="V20" s="131">
        <f t="shared" ref="V20:Y21" si="20">SUM(V23,V26,V29,V32,V35,V38)</f>
        <v>13605</v>
      </c>
      <c r="W20" s="131">
        <f t="shared" si="20"/>
        <v>9491</v>
      </c>
      <c r="X20" s="131">
        <f t="shared" si="20"/>
        <v>1524</v>
      </c>
      <c r="Y20" s="131">
        <f t="shared" si="20"/>
        <v>17204</v>
      </c>
      <c r="Z20" s="203"/>
      <c r="AA20" s="244" t="s">
        <v>18</v>
      </c>
      <c r="AB20" s="131">
        <f>SUM(AB23,AB26,AB29,AB32,AB35,AB38)</f>
        <v>103.10000000000001</v>
      </c>
      <c r="AC20" s="131">
        <f>SUM(AC23,AC26,AC29,AC32,AC35,AC38)</f>
        <v>22533</v>
      </c>
      <c r="AD20" s="131">
        <f>SUM(AE20:AH20)</f>
        <v>20167</v>
      </c>
      <c r="AE20" s="131">
        <f t="shared" ref="AE20:AH21" si="21">SUM(AE23,AE26,AE29,AE32,AE35,AE38)</f>
        <v>11768</v>
      </c>
      <c r="AF20" s="131">
        <f t="shared" si="21"/>
        <v>3406</v>
      </c>
      <c r="AG20" s="131">
        <f t="shared" si="21"/>
        <v>333</v>
      </c>
      <c r="AH20" s="131">
        <f t="shared" si="21"/>
        <v>4660</v>
      </c>
      <c r="AI20" s="203"/>
      <c r="AJ20" s="244" t="s">
        <v>18</v>
      </c>
      <c r="AK20" s="137">
        <f>SUM(AK23,AK26,AK29,AK32,AK35,AK38)</f>
        <v>0.9</v>
      </c>
      <c r="AL20" s="137">
        <f>SUM(AL23,AL26,AL29,AL32,AL35,AL38)</f>
        <v>86</v>
      </c>
      <c r="AM20" s="137">
        <f>SUM(AN20:AQ20)</f>
        <v>74</v>
      </c>
      <c r="AN20" s="137">
        <f t="shared" ref="AN20:AQ21" si="22">SUM(AN23,AN26,AN29,AN32,AN35,AN38)</f>
        <v>13</v>
      </c>
      <c r="AO20" s="137">
        <f t="shared" si="22"/>
        <v>15</v>
      </c>
      <c r="AP20" s="137">
        <f t="shared" si="22"/>
        <v>4</v>
      </c>
      <c r="AQ20" s="137">
        <f t="shared" si="22"/>
        <v>42</v>
      </c>
    </row>
    <row r="21" spans="1:43" s="203" customFormat="1">
      <c r="A21" s="18" t="s">
        <v>19</v>
      </c>
      <c r="B21" s="132">
        <f>SUM(B24,B27,B30,B33,B36,B39)</f>
        <v>408.4</v>
      </c>
      <c r="C21" s="133">
        <f>SUM(C24,C27,C30,C33,C36,C39)</f>
        <v>50168</v>
      </c>
      <c r="D21" s="133">
        <f>SUM(E21:H21)</f>
        <v>46542</v>
      </c>
      <c r="E21" s="133">
        <f t="shared" si="18"/>
        <v>18893</v>
      </c>
      <c r="F21" s="133">
        <f t="shared" si="18"/>
        <v>7878</v>
      </c>
      <c r="G21" s="133">
        <f t="shared" si="18"/>
        <v>1983</v>
      </c>
      <c r="H21" s="133">
        <f t="shared" si="18"/>
        <v>17788</v>
      </c>
      <c r="J21" s="18" t="s">
        <v>19</v>
      </c>
      <c r="K21" s="132">
        <f>SUM(K24,K27,K30,K33,K36,K39)</f>
        <v>99</v>
      </c>
      <c r="L21" s="133">
        <f t="shared" si="19"/>
        <v>4003</v>
      </c>
      <c r="M21" s="133">
        <f>SUM(N21:Q21)</f>
        <v>3894</v>
      </c>
      <c r="N21" s="133">
        <f t="shared" si="19"/>
        <v>286</v>
      </c>
      <c r="O21" s="133">
        <f t="shared" si="19"/>
        <v>684</v>
      </c>
      <c r="P21" s="133">
        <f t="shared" si="19"/>
        <v>68</v>
      </c>
      <c r="Q21" s="133">
        <f t="shared" si="19"/>
        <v>2856</v>
      </c>
      <c r="R21" s="18" t="s">
        <v>19</v>
      </c>
      <c r="S21" s="132">
        <f>SUM(S24,S27,S30,S33,S36,S39)</f>
        <v>309.39999999999998</v>
      </c>
      <c r="T21" s="133">
        <f>SUM(T24,T27,T30,T33,T36,T39)</f>
        <v>46165</v>
      </c>
      <c r="U21" s="133">
        <f>SUM(V21:Y21)</f>
        <v>42648</v>
      </c>
      <c r="V21" s="133">
        <f t="shared" si="20"/>
        <v>18607</v>
      </c>
      <c r="W21" s="133">
        <f t="shared" si="20"/>
        <v>7194</v>
      </c>
      <c r="X21" s="133">
        <f t="shared" si="20"/>
        <v>1915</v>
      </c>
      <c r="Y21" s="133">
        <f t="shared" si="20"/>
        <v>14932</v>
      </c>
      <c r="AA21" s="18" t="s">
        <v>19</v>
      </c>
      <c r="AB21" s="132">
        <f>SUM(AB24,AB27,AB30,AB33,AB36,AB39)</f>
        <v>99.4</v>
      </c>
      <c r="AC21" s="133">
        <f>SUM(AC24,AC27,AC30,AC33,AC36,AC39)</f>
        <v>26520</v>
      </c>
      <c r="AD21" s="133">
        <f>SUM(AE21:AH21)</f>
        <v>25410</v>
      </c>
      <c r="AE21" s="133">
        <f t="shared" si="21"/>
        <v>17314</v>
      </c>
      <c r="AF21" s="133">
        <f t="shared" si="21"/>
        <v>2398</v>
      </c>
      <c r="AG21" s="133">
        <f t="shared" si="21"/>
        <v>937</v>
      </c>
      <c r="AH21" s="133">
        <f t="shared" si="21"/>
        <v>4761</v>
      </c>
      <c r="AJ21" s="18" t="s">
        <v>19</v>
      </c>
      <c r="AK21" s="132">
        <f>SUM(AK24,AK27,AK30,AK33,AK36,AK39)</f>
        <v>0</v>
      </c>
      <c r="AL21" s="133">
        <f>SUM(AL24,AL27,AL30,AL33,AL36,AL39)</f>
        <v>0</v>
      </c>
      <c r="AM21" s="133">
        <f>SUM(AN21:AQ21)</f>
        <v>0</v>
      </c>
      <c r="AN21" s="133">
        <f t="shared" si="22"/>
        <v>0</v>
      </c>
      <c r="AO21" s="133">
        <f t="shared" si="22"/>
        <v>0</v>
      </c>
      <c r="AP21" s="133">
        <f t="shared" si="22"/>
        <v>0</v>
      </c>
      <c r="AQ21" s="133">
        <f t="shared" si="22"/>
        <v>0</v>
      </c>
    </row>
    <row r="22" spans="1:43">
      <c r="A22" s="244" t="s">
        <v>20</v>
      </c>
      <c r="B22" s="134">
        <f t="shared" ref="B22:H22" si="23">B21/B20%</f>
        <v>78.237547892720301</v>
      </c>
      <c r="C22" s="134">
        <f t="shared" si="23"/>
        <v>96.336124126276985</v>
      </c>
      <c r="D22" s="134">
        <f t="shared" si="23"/>
        <v>101.77118866439255</v>
      </c>
      <c r="E22" s="134">
        <f t="shared" si="23"/>
        <v>132.81546572934974</v>
      </c>
      <c r="F22" s="134">
        <f t="shared" si="23"/>
        <v>75.315487571701723</v>
      </c>
      <c r="G22" s="134">
        <f t="shared" si="23"/>
        <v>115.42491268917345</v>
      </c>
      <c r="H22" s="134">
        <f t="shared" si="23"/>
        <v>92.027523410419576</v>
      </c>
      <c r="J22" s="244" t="s">
        <v>20</v>
      </c>
      <c r="K22" s="134">
        <f t="shared" ref="K22:Q22" si="24">K21/K20%</f>
        <v>102.48447204968943</v>
      </c>
      <c r="L22" s="134">
        <f t="shared" si="24"/>
        <v>87.650536457192899</v>
      </c>
      <c r="M22" s="134">
        <f t="shared" si="24"/>
        <v>101.56494522691705</v>
      </c>
      <c r="N22" s="134">
        <f t="shared" si="24"/>
        <v>47.116968698517297</v>
      </c>
      <c r="O22" s="134">
        <f t="shared" si="24"/>
        <v>71.698113207547181</v>
      </c>
      <c r="P22" s="134">
        <f t="shared" si="24"/>
        <v>35.789473684210527</v>
      </c>
      <c r="Q22" s="134">
        <f t="shared" si="24"/>
        <v>137.10993759001443</v>
      </c>
      <c r="R22" s="244" t="s">
        <v>20</v>
      </c>
      <c r="S22" s="134">
        <f t="shared" ref="S22:Y22" si="25">S21/S20%</f>
        <v>72.885747938751464</v>
      </c>
      <c r="T22" s="134">
        <f t="shared" si="25"/>
        <v>97.347278746599741</v>
      </c>
      <c r="U22" s="134">
        <f t="shared" si="25"/>
        <v>101.97016067329763</v>
      </c>
      <c r="V22" s="134">
        <f t="shared" si="25"/>
        <v>136.76589489158397</v>
      </c>
      <c r="W22" s="134">
        <f t="shared" si="25"/>
        <v>75.798124539036991</v>
      </c>
      <c r="X22" s="134">
        <f t="shared" si="25"/>
        <v>125.65616797900262</v>
      </c>
      <c r="Y22" s="134">
        <f t="shared" si="25"/>
        <v>86.79376889095559</v>
      </c>
      <c r="Z22" s="203"/>
      <c r="AA22" s="244" t="s">
        <v>20</v>
      </c>
      <c r="AB22" s="134">
        <f t="shared" ref="AB22:AH22" si="26">AB21/AB20%</f>
        <v>96.411251212415124</v>
      </c>
      <c r="AC22" s="134">
        <f t="shared" si="26"/>
        <v>117.69404872853148</v>
      </c>
      <c r="AD22" s="134">
        <f t="shared" si="26"/>
        <v>125.99791738979522</v>
      </c>
      <c r="AE22" s="134">
        <f t="shared" si="26"/>
        <v>147.12780421481983</v>
      </c>
      <c r="AF22" s="134">
        <f t="shared" si="26"/>
        <v>70.405167351732231</v>
      </c>
      <c r="AG22" s="134">
        <f t="shared" si="26"/>
        <v>281.3813813813814</v>
      </c>
      <c r="AH22" s="134">
        <f t="shared" si="26"/>
        <v>102.16738197424893</v>
      </c>
      <c r="AI22" s="203"/>
      <c r="AJ22" s="244" t="s">
        <v>20</v>
      </c>
      <c r="AK22" s="134">
        <f t="shared" ref="AK22:AQ22" si="27">AK21/AK20%</f>
        <v>0</v>
      </c>
      <c r="AL22" s="134">
        <f t="shared" si="27"/>
        <v>0</v>
      </c>
      <c r="AM22" s="134">
        <f t="shared" si="27"/>
        <v>0</v>
      </c>
      <c r="AN22" s="134">
        <f t="shared" si="27"/>
        <v>0</v>
      </c>
      <c r="AO22" s="134">
        <f t="shared" si="27"/>
        <v>0</v>
      </c>
      <c r="AP22" s="134">
        <f t="shared" si="27"/>
        <v>0</v>
      </c>
      <c r="AQ22" s="134">
        <f t="shared" si="27"/>
        <v>0</v>
      </c>
    </row>
    <row r="23" spans="1:43">
      <c r="A23" s="6" t="s">
        <v>21</v>
      </c>
      <c r="B23" s="142">
        <f>SUM(K23,S23,AK23)</f>
        <v>0</v>
      </c>
      <c r="C23" s="143">
        <f>SUM(L23,T23,AL23)</f>
        <v>0</v>
      </c>
      <c r="D23" s="144">
        <f>SUM(E23:H23)</f>
        <v>0</v>
      </c>
      <c r="E23" s="143">
        <f t="shared" ref="E23:H24" si="28">SUM(N23,V23,AN23)</f>
        <v>0</v>
      </c>
      <c r="F23" s="143">
        <f t="shared" si="28"/>
        <v>0</v>
      </c>
      <c r="G23" s="143">
        <f t="shared" si="28"/>
        <v>0</v>
      </c>
      <c r="H23" s="143">
        <f t="shared" si="28"/>
        <v>0</v>
      </c>
      <c r="J23" s="6" t="s">
        <v>21</v>
      </c>
      <c r="K23" s="145"/>
      <c r="L23" s="146"/>
      <c r="M23" s="144">
        <f>SUM(N23:Q23)</f>
        <v>0</v>
      </c>
      <c r="N23" s="146"/>
      <c r="O23" s="146"/>
      <c r="P23" s="146"/>
      <c r="Q23" s="146"/>
      <c r="R23" s="6" t="s">
        <v>21</v>
      </c>
      <c r="S23" s="145"/>
      <c r="T23" s="146"/>
      <c r="U23" s="144">
        <f>SUM(V23:Y23)</f>
        <v>0</v>
      </c>
      <c r="V23" s="146"/>
      <c r="W23" s="146"/>
      <c r="X23" s="146"/>
      <c r="Y23" s="146"/>
      <c r="Z23" s="203"/>
      <c r="AA23" s="6" t="s">
        <v>21</v>
      </c>
      <c r="AB23" s="145"/>
      <c r="AC23" s="146"/>
      <c r="AD23" s="144">
        <f>SUM(AE23:AH23)</f>
        <v>0</v>
      </c>
      <c r="AE23" s="146"/>
      <c r="AF23" s="146"/>
      <c r="AG23" s="146"/>
      <c r="AH23" s="146"/>
      <c r="AI23" s="203"/>
      <c r="AJ23" s="6" t="s">
        <v>21</v>
      </c>
      <c r="AK23" s="145"/>
      <c r="AL23" s="146"/>
      <c r="AM23" s="144">
        <f>SUM(AN23:AQ23)</f>
        <v>0</v>
      </c>
      <c r="AN23" s="146"/>
      <c r="AO23" s="146"/>
      <c r="AP23" s="146"/>
      <c r="AQ23" s="146"/>
    </row>
    <row r="24" spans="1:43">
      <c r="A24" s="6" t="s">
        <v>22</v>
      </c>
      <c r="B24" s="138">
        <f>SUM(K24,S24,AK24)</f>
        <v>0</v>
      </c>
      <c r="C24" s="139">
        <f>SUM(L24,T24,AL24)</f>
        <v>0</v>
      </c>
      <c r="D24" s="140">
        <f>SUM(E24:H24)</f>
        <v>0</v>
      </c>
      <c r="E24" s="139">
        <f t="shared" si="28"/>
        <v>0</v>
      </c>
      <c r="F24" s="139">
        <f t="shared" si="28"/>
        <v>0</v>
      </c>
      <c r="G24" s="139">
        <f t="shared" si="28"/>
        <v>0</v>
      </c>
      <c r="H24" s="139">
        <f t="shared" si="28"/>
        <v>0</v>
      </c>
      <c r="J24" s="6" t="s">
        <v>22</v>
      </c>
      <c r="K24" s="8"/>
      <c r="L24" s="244"/>
      <c r="M24" s="141">
        <f>SUM(N24:Q24)</f>
        <v>0</v>
      </c>
      <c r="N24" s="244"/>
      <c r="O24" s="244"/>
      <c r="P24" s="244"/>
      <c r="Q24" s="244"/>
      <c r="R24" s="6" t="s">
        <v>22</v>
      </c>
      <c r="S24" s="8"/>
      <c r="T24" s="244"/>
      <c r="U24" s="141">
        <f>SUM(V24:Y24)</f>
        <v>0</v>
      </c>
      <c r="V24" s="244"/>
      <c r="W24" s="244"/>
      <c r="X24" s="244"/>
      <c r="Y24" s="244"/>
      <c r="Z24" s="203"/>
      <c r="AA24" s="6" t="s">
        <v>22</v>
      </c>
      <c r="AB24" s="8"/>
      <c r="AC24" s="244"/>
      <c r="AD24" s="141">
        <f>SUM(AE24:AH24)</f>
        <v>0</v>
      </c>
      <c r="AE24" s="244"/>
      <c r="AF24" s="244"/>
      <c r="AG24" s="244"/>
      <c r="AH24" s="244"/>
      <c r="AI24" s="203"/>
      <c r="AJ24" s="6" t="s">
        <v>22</v>
      </c>
      <c r="AK24" s="8"/>
      <c r="AL24" s="244"/>
      <c r="AM24" s="141">
        <f>SUM(AN24:AQ24)</f>
        <v>0</v>
      </c>
      <c r="AN24" s="244"/>
      <c r="AO24" s="244"/>
      <c r="AP24" s="244"/>
      <c r="AQ24" s="244"/>
    </row>
    <row r="25" spans="1:43">
      <c r="A25" s="6" t="s">
        <v>12</v>
      </c>
      <c r="B25" s="147" t="e">
        <f t="shared" ref="B25:H25" si="29">B24/B23%</f>
        <v>#DIV/0!</v>
      </c>
      <c r="C25" s="147" t="e">
        <f t="shared" si="29"/>
        <v>#DIV/0!</v>
      </c>
      <c r="D25" s="147" t="e">
        <f t="shared" si="29"/>
        <v>#DIV/0!</v>
      </c>
      <c r="E25" s="147" t="e">
        <f t="shared" si="29"/>
        <v>#DIV/0!</v>
      </c>
      <c r="F25" s="147" t="e">
        <f t="shared" si="29"/>
        <v>#DIV/0!</v>
      </c>
      <c r="G25" s="147" t="e">
        <f t="shared" si="29"/>
        <v>#DIV/0!</v>
      </c>
      <c r="H25" s="147" t="e">
        <f t="shared" si="29"/>
        <v>#DIV/0!</v>
      </c>
      <c r="J25" s="6" t="s">
        <v>12</v>
      </c>
      <c r="K25" s="147" t="e">
        <f t="shared" ref="K25:Q25" si="30">K24/K23%</f>
        <v>#DIV/0!</v>
      </c>
      <c r="L25" s="147" t="e">
        <f t="shared" si="30"/>
        <v>#DIV/0!</v>
      </c>
      <c r="M25" s="147" t="e">
        <f t="shared" si="30"/>
        <v>#DIV/0!</v>
      </c>
      <c r="N25" s="147" t="e">
        <f t="shared" si="30"/>
        <v>#DIV/0!</v>
      </c>
      <c r="O25" s="147" t="e">
        <f t="shared" si="30"/>
        <v>#DIV/0!</v>
      </c>
      <c r="P25" s="147" t="e">
        <f t="shared" si="30"/>
        <v>#DIV/0!</v>
      </c>
      <c r="Q25" s="147" t="e">
        <f t="shared" si="30"/>
        <v>#DIV/0!</v>
      </c>
      <c r="R25" s="6" t="s">
        <v>12</v>
      </c>
      <c r="S25" s="147" t="e">
        <f t="shared" ref="S25:Y25" si="31">S24/S23%</f>
        <v>#DIV/0!</v>
      </c>
      <c r="T25" s="147" t="e">
        <f t="shared" si="31"/>
        <v>#DIV/0!</v>
      </c>
      <c r="U25" s="147" t="e">
        <f t="shared" si="31"/>
        <v>#DIV/0!</v>
      </c>
      <c r="V25" s="147" t="e">
        <f t="shared" si="31"/>
        <v>#DIV/0!</v>
      </c>
      <c r="W25" s="147" t="e">
        <f t="shared" si="31"/>
        <v>#DIV/0!</v>
      </c>
      <c r="X25" s="147" t="e">
        <f t="shared" si="31"/>
        <v>#DIV/0!</v>
      </c>
      <c r="Y25" s="147" t="e">
        <f t="shared" si="31"/>
        <v>#DIV/0!</v>
      </c>
      <c r="Z25" s="203"/>
      <c r="AA25" s="6" t="s">
        <v>12</v>
      </c>
      <c r="AB25" s="147" t="e">
        <f t="shared" ref="AB25:AH25" si="32">AB24/AB23%</f>
        <v>#DIV/0!</v>
      </c>
      <c r="AC25" s="147" t="e">
        <f t="shared" si="32"/>
        <v>#DIV/0!</v>
      </c>
      <c r="AD25" s="147" t="e">
        <f t="shared" si="32"/>
        <v>#DIV/0!</v>
      </c>
      <c r="AE25" s="147" t="e">
        <f t="shared" si="32"/>
        <v>#DIV/0!</v>
      </c>
      <c r="AF25" s="147" t="e">
        <f t="shared" si="32"/>
        <v>#DIV/0!</v>
      </c>
      <c r="AG25" s="147" t="e">
        <f t="shared" si="32"/>
        <v>#DIV/0!</v>
      </c>
      <c r="AH25" s="147" t="e">
        <f t="shared" si="32"/>
        <v>#DIV/0!</v>
      </c>
      <c r="AI25" s="203"/>
      <c r="AJ25" s="6" t="s">
        <v>12</v>
      </c>
      <c r="AK25" s="147" t="e">
        <f t="shared" ref="AK25:AQ25" si="33">AK24/AK23%</f>
        <v>#DIV/0!</v>
      </c>
      <c r="AL25" s="147" t="e">
        <f t="shared" si="33"/>
        <v>#DIV/0!</v>
      </c>
      <c r="AM25" s="147" t="e">
        <f t="shared" si="33"/>
        <v>#DIV/0!</v>
      </c>
      <c r="AN25" s="147" t="e">
        <f t="shared" si="33"/>
        <v>#DIV/0!</v>
      </c>
      <c r="AO25" s="147" t="e">
        <f t="shared" si="33"/>
        <v>#DIV/0!</v>
      </c>
      <c r="AP25" s="147" t="e">
        <f t="shared" si="33"/>
        <v>#DIV/0!</v>
      </c>
      <c r="AQ25" s="147" t="e">
        <f t="shared" si="33"/>
        <v>#DIV/0!</v>
      </c>
    </row>
    <row r="26" spans="1:43">
      <c r="A26" s="6" t="s">
        <v>23</v>
      </c>
      <c r="B26" s="142">
        <f>SUM(K26,S26,AK26)</f>
        <v>27.4</v>
      </c>
      <c r="C26" s="143">
        <f>SUM(L26,T26,AL26)</f>
        <v>1392</v>
      </c>
      <c r="D26" s="144">
        <f>SUM(E26:H26)</f>
        <v>1233</v>
      </c>
      <c r="E26" s="143">
        <f t="shared" ref="E26:H27" si="34">SUM(N26,V26,AN26)</f>
        <v>142</v>
      </c>
      <c r="F26" s="143">
        <f t="shared" si="34"/>
        <v>344</v>
      </c>
      <c r="G26" s="143">
        <f t="shared" si="34"/>
        <v>39</v>
      </c>
      <c r="H26" s="143">
        <f t="shared" si="34"/>
        <v>708</v>
      </c>
      <c r="J26" s="6" t="s">
        <v>23</v>
      </c>
      <c r="K26" s="145">
        <v>8.1999999999999993</v>
      </c>
      <c r="L26" s="146">
        <v>303</v>
      </c>
      <c r="M26" s="144">
        <f>SUM(N26:Q26)</f>
        <v>263</v>
      </c>
      <c r="N26" s="146">
        <v>26</v>
      </c>
      <c r="O26" s="146">
        <v>70</v>
      </c>
      <c r="P26" s="146">
        <v>13</v>
      </c>
      <c r="Q26" s="146">
        <v>154</v>
      </c>
      <c r="R26" s="6" t="s">
        <v>23</v>
      </c>
      <c r="S26" s="145">
        <v>19</v>
      </c>
      <c r="T26" s="146">
        <v>1071</v>
      </c>
      <c r="U26" s="144">
        <f>SUM(V26:Y26)</f>
        <v>954</v>
      </c>
      <c r="V26" s="146">
        <v>114</v>
      </c>
      <c r="W26" s="146">
        <v>270</v>
      </c>
      <c r="X26" s="146">
        <v>25</v>
      </c>
      <c r="Y26" s="146">
        <v>545</v>
      </c>
      <c r="Z26" s="203"/>
      <c r="AA26" s="6" t="s">
        <v>23</v>
      </c>
      <c r="AB26" s="145">
        <v>1.6</v>
      </c>
      <c r="AC26" s="146">
        <v>88</v>
      </c>
      <c r="AD26" s="144">
        <f>SUM(AE26:AH26)</f>
        <v>79</v>
      </c>
      <c r="AE26" s="146">
        <v>11</v>
      </c>
      <c r="AF26" s="146">
        <v>18</v>
      </c>
      <c r="AG26" s="146">
        <v>2</v>
      </c>
      <c r="AH26" s="146">
        <v>48</v>
      </c>
      <c r="AI26" s="203"/>
      <c r="AJ26" s="6" t="s">
        <v>23</v>
      </c>
      <c r="AK26" s="145">
        <v>0.2</v>
      </c>
      <c r="AL26" s="146">
        <v>18</v>
      </c>
      <c r="AM26" s="144">
        <f>SUM(AN26:AQ26)</f>
        <v>16</v>
      </c>
      <c r="AN26" s="146">
        <v>2</v>
      </c>
      <c r="AO26" s="146">
        <v>4</v>
      </c>
      <c r="AP26" s="146">
        <v>1</v>
      </c>
      <c r="AQ26" s="146">
        <v>9</v>
      </c>
    </row>
    <row r="27" spans="1:43">
      <c r="A27" s="6" t="s">
        <v>24</v>
      </c>
      <c r="B27" s="138">
        <f>SUM(K27,S27,AK27)</f>
        <v>24.9</v>
      </c>
      <c r="C27" s="139">
        <f>SUM(L27,T27,AL27)</f>
        <v>646</v>
      </c>
      <c r="D27" s="140">
        <f>SUM(E27:H27)</f>
        <v>625</v>
      </c>
      <c r="E27" s="139">
        <f t="shared" si="34"/>
        <v>3</v>
      </c>
      <c r="F27" s="139">
        <f t="shared" si="34"/>
        <v>32</v>
      </c>
      <c r="G27" s="139">
        <f t="shared" si="34"/>
        <v>1</v>
      </c>
      <c r="H27" s="139">
        <f t="shared" si="34"/>
        <v>589</v>
      </c>
      <c r="J27" s="6" t="s">
        <v>24</v>
      </c>
      <c r="K27" s="8">
        <v>11.5</v>
      </c>
      <c r="L27" s="244">
        <v>280</v>
      </c>
      <c r="M27" s="141">
        <f>SUM(N27:Q27)</f>
        <v>274</v>
      </c>
      <c r="N27" s="244">
        <v>3</v>
      </c>
      <c r="O27" s="244">
        <v>27</v>
      </c>
      <c r="P27" s="244">
        <v>1</v>
      </c>
      <c r="Q27" s="244">
        <v>243</v>
      </c>
      <c r="R27" s="6" t="s">
        <v>24</v>
      </c>
      <c r="S27" s="8">
        <v>13.4</v>
      </c>
      <c r="T27" s="244">
        <v>366</v>
      </c>
      <c r="U27" s="141">
        <f>SUM(V27:Y27)</f>
        <v>351</v>
      </c>
      <c r="V27" s="244">
        <v>0</v>
      </c>
      <c r="W27" s="244">
        <v>5</v>
      </c>
      <c r="X27" s="244">
        <v>0</v>
      </c>
      <c r="Y27" s="244">
        <v>346</v>
      </c>
      <c r="Z27" s="203"/>
      <c r="AA27" s="6" t="s">
        <v>24</v>
      </c>
      <c r="AB27" s="8">
        <v>2</v>
      </c>
      <c r="AC27" s="244">
        <v>80</v>
      </c>
      <c r="AD27" s="141">
        <f>SUM(AE27:AH27)</f>
        <v>70</v>
      </c>
      <c r="AE27" s="244"/>
      <c r="AF27" s="244"/>
      <c r="AG27" s="244"/>
      <c r="AH27" s="244">
        <v>70</v>
      </c>
      <c r="AI27" s="203"/>
      <c r="AJ27" s="6" t="s">
        <v>24</v>
      </c>
      <c r="AK27" s="8"/>
      <c r="AL27" s="244"/>
      <c r="AM27" s="141">
        <f>SUM(AN27:AQ27)</f>
        <v>0</v>
      </c>
      <c r="AN27" s="244"/>
      <c r="AO27" s="244"/>
      <c r="AP27" s="244"/>
      <c r="AQ27" s="244"/>
    </row>
    <row r="28" spans="1:43">
      <c r="A28" s="6" t="s">
        <v>12</v>
      </c>
      <c r="B28" s="147">
        <f t="shared" ref="B28:H28" si="35">B27/B26%</f>
        <v>90.875912408759135</v>
      </c>
      <c r="C28" s="147">
        <f t="shared" si="35"/>
        <v>46.408045977011497</v>
      </c>
      <c r="D28" s="147">
        <f t="shared" si="35"/>
        <v>50.689375506893754</v>
      </c>
      <c r="E28" s="147">
        <f t="shared" si="35"/>
        <v>2.1126760563380285</v>
      </c>
      <c r="F28" s="147">
        <f t="shared" si="35"/>
        <v>9.3023255813953494</v>
      </c>
      <c r="G28" s="147">
        <f t="shared" si="35"/>
        <v>2.5641025641025639</v>
      </c>
      <c r="H28" s="147">
        <f t="shared" si="35"/>
        <v>83.192090395480221</v>
      </c>
      <c r="J28" s="6" t="s">
        <v>12</v>
      </c>
      <c r="K28" s="147">
        <f t="shared" ref="K28:Q28" si="36">K27/K26%</f>
        <v>140.2439024390244</v>
      </c>
      <c r="L28" s="147">
        <f t="shared" si="36"/>
        <v>92.409240924092416</v>
      </c>
      <c r="M28" s="147">
        <f t="shared" si="36"/>
        <v>104.18250950570342</v>
      </c>
      <c r="N28" s="147">
        <f t="shared" si="36"/>
        <v>11.538461538461538</v>
      </c>
      <c r="O28" s="147">
        <f t="shared" si="36"/>
        <v>38.571428571428577</v>
      </c>
      <c r="P28" s="147">
        <f t="shared" si="36"/>
        <v>7.6923076923076916</v>
      </c>
      <c r="Q28" s="147">
        <f t="shared" si="36"/>
        <v>157.79220779220779</v>
      </c>
      <c r="R28" s="6" t="s">
        <v>12</v>
      </c>
      <c r="S28" s="147">
        <f t="shared" ref="S28:Y28" si="37">S27/S26%</f>
        <v>70.526315789473685</v>
      </c>
      <c r="T28" s="147">
        <f t="shared" si="37"/>
        <v>34.173669467787114</v>
      </c>
      <c r="U28" s="147">
        <f t="shared" si="37"/>
        <v>36.79245283018868</v>
      </c>
      <c r="V28" s="147">
        <f t="shared" si="37"/>
        <v>0</v>
      </c>
      <c r="W28" s="147">
        <f t="shared" si="37"/>
        <v>1.8518518518518516</v>
      </c>
      <c r="X28" s="147">
        <f t="shared" si="37"/>
        <v>0</v>
      </c>
      <c r="Y28" s="147">
        <f t="shared" si="37"/>
        <v>63.486238532110093</v>
      </c>
      <c r="Z28" s="203"/>
      <c r="AA28" s="6" t="s">
        <v>12</v>
      </c>
      <c r="AB28" s="147">
        <f t="shared" ref="AB28:AH28" si="38">AB27/AB26%</f>
        <v>125</v>
      </c>
      <c r="AC28" s="147">
        <f t="shared" si="38"/>
        <v>90.909090909090907</v>
      </c>
      <c r="AD28" s="147">
        <f t="shared" si="38"/>
        <v>88.60759493670885</v>
      </c>
      <c r="AE28" s="147">
        <f t="shared" si="38"/>
        <v>0</v>
      </c>
      <c r="AF28" s="147">
        <f t="shared" si="38"/>
        <v>0</v>
      </c>
      <c r="AG28" s="147">
        <f t="shared" si="38"/>
        <v>0</v>
      </c>
      <c r="AH28" s="147">
        <f t="shared" si="38"/>
        <v>145.83333333333334</v>
      </c>
      <c r="AI28" s="203"/>
      <c r="AJ28" s="6" t="s">
        <v>12</v>
      </c>
      <c r="AK28" s="147">
        <f t="shared" ref="AK28:AQ28" si="39">AK27/AK26%</f>
        <v>0</v>
      </c>
      <c r="AL28" s="147">
        <f t="shared" si="39"/>
        <v>0</v>
      </c>
      <c r="AM28" s="147">
        <f t="shared" si="39"/>
        <v>0</v>
      </c>
      <c r="AN28" s="147">
        <f t="shared" si="39"/>
        <v>0</v>
      </c>
      <c r="AO28" s="147">
        <f t="shared" si="39"/>
        <v>0</v>
      </c>
      <c r="AP28" s="147">
        <f t="shared" si="39"/>
        <v>0</v>
      </c>
      <c r="AQ28" s="147">
        <f t="shared" si="39"/>
        <v>0</v>
      </c>
    </row>
    <row r="29" spans="1:43">
      <c r="A29" s="6" t="s">
        <v>25</v>
      </c>
      <c r="B29" s="142">
        <f>SUM(K29,S29,AK29)</f>
        <v>38.200000000000003</v>
      </c>
      <c r="C29" s="143">
        <f>SUM(L29,T29,AL29)</f>
        <v>1917</v>
      </c>
      <c r="D29" s="144">
        <f>SUM(E29:H29)</f>
        <v>1700</v>
      </c>
      <c r="E29" s="143">
        <f t="shared" ref="E29:H30" si="40">SUM(N29,V29,AN29)</f>
        <v>147</v>
      </c>
      <c r="F29" s="143">
        <f t="shared" si="40"/>
        <v>466</v>
      </c>
      <c r="G29" s="143">
        <f t="shared" si="40"/>
        <v>81</v>
      </c>
      <c r="H29" s="143">
        <f t="shared" si="40"/>
        <v>1006</v>
      </c>
      <c r="J29" s="6" t="s">
        <v>25</v>
      </c>
      <c r="K29" s="145">
        <v>6.8</v>
      </c>
      <c r="L29" s="146">
        <v>217</v>
      </c>
      <c r="M29" s="144">
        <f>SUM(N29:Q29)</f>
        <v>186</v>
      </c>
      <c r="N29" s="146">
        <v>11</v>
      </c>
      <c r="O29" s="146">
        <v>58</v>
      </c>
      <c r="P29" s="146">
        <v>12</v>
      </c>
      <c r="Q29" s="146">
        <v>105</v>
      </c>
      <c r="R29" s="6" t="s">
        <v>25</v>
      </c>
      <c r="S29" s="145">
        <v>31.3</v>
      </c>
      <c r="T29" s="146">
        <v>1695</v>
      </c>
      <c r="U29" s="144">
        <f>SUM(V29:Y29)</f>
        <v>1509</v>
      </c>
      <c r="V29" s="146">
        <v>135</v>
      </c>
      <c r="W29" s="146">
        <v>407</v>
      </c>
      <c r="X29" s="146">
        <v>68</v>
      </c>
      <c r="Y29" s="146">
        <v>899</v>
      </c>
      <c r="Z29" s="203"/>
      <c r="AA29" s="6" t="s">
        <v>25</v>
      </c>
      <c r="AB29" s="145">
        <v>0.3</v>
      </c>
      <c r="AC29" s="146">
        <v>15</v>
      </c>
      <c r="AD29" s="144">
        <f>SUM(AE29:AH29)</f>
        <v>14</v>
      </c>
      <c r="AE29" s="146">
        <v>1</v>
      </c>
      <c r="AF29" s="146">
        <v>4</v>
      </c>
      <c r="AG29" s="146">
        <v>1</v>
      </c>
      <c r="AH29" s="146">
        <v>8</v>
      </c>
      <c r="AI29" s="203"/>
      <c r="AJ29" s="6" t="s">
        <v>25</v>
      </c>
      <c r="AK29" s="145">
        <v>0.1</v>
      </c>
      <c r="AL29" s="146">
        <v>5</v>
      </c>
      <c r="AM29" s="144">
        <f>SUM(AN29:AQ29)</f>
        <v>5</v>
      </c>
      <c r="AN29" s="146">
        <v>1</v>
      </c>
      <c r="AO29" s="146">
        <v>1</v>
      </c>
      <c r="AP29" s="146">
        <v>1</v>
      </c>
      <c r="AQ29" s="146">
        <v>2</v>
      </c>
    </row>
    <row r="30" spans="1:43">
      <c r="A30" s="6" t="s">
        <v>26</v>
      </c>
      <c r="B30" s="138">
        <f>SUM(K30,S30,AK30)</f>
        <v>18.399999999999999</v>
      </c>
      <c r="C30" s="139">
        <f>SUM(L30,T30,AL30)</f>
        <v>628</v>
      </c>
      <c r="D30" s="140">
        <f>SUM(E30:H30)</f>
        <v>616</v>
      </c>
      <c r="E30" s="139">
        <f t="shared" si="40"/>
        <v>13</v>
      </c>
      <c r="F30" s="139">
        <f t="shared" si="40"/>
        <v>34</v>
      </c>
      <c r="G30" s="139">
        <f t="shared" si="40"/>
        <v>2</v>
      </c>
      <c r="H30" s="139">
        <f t="shared" si="40"/>
        <v>567</v>
      </c>
      <c r="J30" s="6" t="s">
        <v>26</v>
      </c>
      <c r="K30" s="8">
        <v>16</v>
      </c>
      <c r="L30" s="244">
        <v>559</v>
      </c>
      <c r="M30" s="141">
        <f>SUM(N30:Q30)</f>
        <v>545</v>
      </c>
      <c r="N30" s="244">
        <v>10</v>
      </c>
      <c r="O30" s="244">
        <v>28</v>
      </c>
      <c r="P30" s="244">
        <v>1</v>
      </c>
      <c r="Q30" s="244">
        <v>506</v>
      </c>
      <c r="R30" s="6" t="s">
        <v>26</v>
      </c>
      <c r="S30" s="8">
        <v>2.4</v>
      </c>
      <c r="T30" s="244">
        <v>69</v>
      </c>
      <c r="U30" s="141">
        <f>SUM(V30:Y30)</f>
        <v>71</v>
      </c>
      <c r="V30" s="244">
        <v>3</v>
      </c>
      <c r="W30" s="244">
        <v>6</v>
      </c>
      <c r="X30" s="244">
        <v>1</v>
      </c>
      <c r="Y30" s="244">
        <v>61</v>
      </c>
      <c r="Z30" s="203"/>
      <c r="AA30" s="6" t="s">
        <v>26</v>
      </c>
      <c r="AB30" s="8"/>
      <c r="AC30" s="244"/>
      <c r="AD30" s="141">
        <f>SUM(AE30:AH30)</f>
        <v>0</v>
      </c>
      <c r="AE30" s="244"/>
      <c r="AF30" s="244"/>
      <c r="AG30" s="244"/>
      <c r="AH30" s="244"/>
      <c r="AI30" s="203"/>
      <c r="AJ30" s="6" t="s">
        <v>26</v>
      </c>
      <c r="AK30" s="8"/>
      <c r="AL30" s="244"/>
      <c r="AM30" s="141">
        <f>SUM(AN30:AQ30)</f>
        <v>0</v>
      </c>
      <c r="AN30" s="244"/>
      <c r="AO30" s="244"/>
      <c r="AP30" s="244"/>
      <c r="AQ30" s="244"/>
    </row>
    <row r="31" spans="1:43">
      <c r="A31" s="6" t="s">
        <v>12</v>
      </c>
      <c r="B31" s="147">
        <f t="shared" ref="B31:H31" si="41">B30/B29%</f>
        <v>48.167539267015705</v>
      </c>
      <c r="C31" s="147">
        <f t="shared" si="41"/>
        <v>32.759520083463741</v>
      </c>
      <c r="D31" s="147">
        <f t="shared" si="41"/>
        <v>36.235294117647058</v>
      </c>
      <c r="E31" s="147">
        <f t="shared" si="41"/>
        <v>8.8435374149659864</v>
      </c>
      <c r="F31" s="147">
        <f t="shared" si="41"/>
        <v>7.296137339055794</v>
      </c>
      <c r="G31" s="147">
        <f t="shared" si="41"/>
        <v>2.4691358024691357</v>
      </c>
      <c r="H31" s="147">
        <f t="shared" si="41"/>
        <v>56.361829025844926</v>
      </c>
      <c r="J31" s="6" t="s">
        <v>12</v>
      </c>
      <c r="K31" s="147">
        <f t="shared" ref="K31:Q31" si="42">K30/K29%</f>
        <v>235.29411764705881</v>
      </c>
      <c r="L31" s="147">
        <f t="shared" si="42"/>
        <v>257.60368663594471</v>
      </c>
      <c r="M31" s="147">
        <f t="shared" si="42"/>
        <v>293.01075268817203</v>
      </c>
      <c r="N31" s="147">
        <f t="shared" si="42"/>
        <v>90.909090909090907</v>
      </c>
      <c r="O31" s="147">
        <f t="shared" si="42"/>
        <v>48.275862068965523</v>
      </c>
      <c r="P31" s="147">
        <f t="shared" si="42"/>
        <v>8.3333333333333339</v>
      </c>
      <c r="Q31" s="147">
        <f t="shared" si="42"/>
        <v>481.90476190476187</v>
      </c>
      <c r="R31" s="6" t="s">
        <v>12</v>
      </c>
      <c r="S31" s="147">
        <f t="shared" ref="S31:Y31" si="43">S30/S29%</f>
        <v>7.6677316293929714</v>
      </c>
      <c r="T31" s="147">
        <f t="shared" si="43"/>
        <v>4.0707964601769913</v>
      </c>
      <c r="U31" s="147">
        <f t="shared" si="43"/>
        <v>4.7051027170311466</v>
      </c>
      <c r="V31" s="147">
        <f t="shared" si="43"/>
        <v>2.2222222222222219</v>
      </c>
      <c r="W31" s="147">
        <f t="shared" si="43"/>
        <v>1.4742014742014742</v>
      </c>
      <c r="X31" s="147">
        <f t="shared" si="43"/>
        <v>1.4705882352941175</v>
      </c>
      <c r="Y31" s="147">
        <f t="shared" si="43"/>
        <v>6.7853170189098995</v>
      </c>
      <c r="Z31" s="203"/>
      <c r="AA31" s="6" t="s">
        <v>12</v>
      </c>
      <c r="AB31" s="147">
        <f t="shared" ref="AB31:AH31" si="44">AB30/AB29%</f>
        <v>0</v>
      </c>
      <c r="AC31" s="147">
        <f t="shared" si="44"/>
        <v>0</v>
      </c>
      <c r="AD31" s="147">
        <f t="shared" si="44"/>
        <v>0</v>
      </c>
      <c r="AE31" s="147">
        <f t="shared" si="44"/>
        <v>0</v>
      </c>
      <c r="AF31" s="147">
        <f t="shared" si="44"/>
        <v>0</v>
      </c>
      <c r="AG31" s="147">
        <f t="shared" si="44"/>
        <v>0</v>
      </c>
      <c r="AH31" s="147">
        <f t="shared" si="44"/>
        <v>0</v>
      </c>
      <c r="AI31" s="203"/>
      <c r="AJ31" s="6" t="s">
        <v>12</v>
      </c>
      <c r="AK31" s="147">
        <f t="shared" ref="AK31:AQ31" si="45">AK30/AK29%</f>
        <v>0</v>
      </c>
      <c r="AL31" s="147">
        <f t="shared" si="45"/>
        <v>0</v>
      </c>
      <c r="AM31" s="147">
        <f t="shared" si="45"/>
        <v>0</v>
      </c>
      <c r="AN31" s="147">
        <f t="shared" si="45"/>
        <v>0</v>
      </c>
      <c r="AO31" s="147">
        <f t="shared" si="45"/>
        <v>0</v>
      </c>
      <c r="AP31" s="147">
        <f t="shared" si="45"/>
        <v>0</v>
      </c>
      <c r="AQ31" s="147">
        <f t="shared" si="45"/>
        <v>0</v>
      </c>
    </row>
    <row r="32" spans="1:43">
      <c r="A32" s="6" t="s">
        <v>27</v>
      </c>
      <c r="B32" s="142">
        <f>SUM(K32,S32,AK32)</f>
        <v>66.900000000000006</v>
      </c>
      <c r="C32" s="143">
        <f>SUM(L32,T32,AL32)</f>
        <v>17357</v>
      </c>
      <c r="D32" s="144">
        <f>SUM(E32:H32)</f>
        <v>15805</v>
      </c>
      <c r="E32" s="143">
        <f t="shared" ref="E32:H33" si="46">SUM(N32,V32,AN32)</f>
        <v>10762</v>
      </c>
      <c r="F32" s="143">
        <f t="shared" si="46"/>
        <v>2609</v>
      </c>
      <c r="G32" s="143">
        <f t="shared" si="46"/>
        <v>176</v>
      </c>
      <c r="H32" s="143">
        <f t="shared" si="46"/>
        <v>2258</v>
      </c>
      <c r="J32" s="6" t="s">
        <v>27</v>
      </c>
      <c r="K32" s="145">
        <v>0.7</v>
      </c>
      <c r="L32" s="146">
        <v>14</v>
      </c>
      <c r="M32" s="144">
        <f>SUM(N32:Q32)</f>
        <v>14</v>
      </c>
      <c r="N32" s="146">
        <v>9</v>
      </c>
      <c r="O32" s="146">
        <v>2</v>
      </c>
      <c r="P32" s="146">
        <v>1</v>
      </c>
      <c r="Q32" s="146">
        <v>2</v>
      </c>
      <c r="R32" s="6" t="s">
        <v>27</v>
      </c>
      <c r="S32" s="145">
        <v>66.2</v>
      </c>
      <c r="T32" s="146">
        <v>17343</v>
      </c>
      <c r="U32" s="144">
        <f>SUM(V32:Y32)</f>
        <v>15791</v>
      </c>
      <c r="V32" s="146">
        <v>10753</v>
      </c>
      <c r="W32" s="146">
        <v>2607</v>
      </c>
      <c r="X32" s="146">
        <v>175</v>
      </c>
      <c r="Y32" s="146">
        <v>2256</v>
      </c>
      <c r="Z32" s="203"/>
      <c r="AA32" s="6" t="s">
        <v>27</v>
      </c>
      <c r="AB32" s="145">
        <v>66</v>
      </c>
      <c r="AC32" s="146">
        <v>17295</v>
      </c>
      <c r="AD32" s="144">
        <f>SUM(AE32:AH32)</f>
        <v>15746</v>
      </c>
      <c r="AE32" s="146">
        <v>10723</v>
      </c>
      <c r="AF32" s="146">
        <v>2599</v>
      </c>
      <c r="AG32" s="146">
        <v>174</v>
      </c>
      <c r="AH32" s="146">
        <v>2250</v>
      </c>
      <c r="AI32" s="203"/>
      <c r="AJ32" s="6" t="s">
        <v>27</v>
      </c>
      <c r="AK32" s="145"/>
      <c r="AL32" s="146"/>
      <c r="AM32" s="144">
        <f>SUM(AN32:AQ32)</f>
        <v>0</v>
      </c>
      <c r="AN32" s="146"/>
      <c r="AO32" s="146"/>
      <c r="AP32" s="146"/>
      <c r="AQ32" s="146"/>
    </row>
    <row r="33" spans="1:43">
      <c r="A33" s="6" t="s">
        <v>28</v>
      </c>
      <c r="B33" s="138">
        <f>SUM(K33,S33,AK33)</f>
        <v>68.099999999999994</v>
      </c>
      <c r="C33" s="139">
        <f>SUM(L33,T33,AL33)</f>
        <v>22862</v>
      </c>
      <c r="D33" s="140">
        <f>SUM(E33:H33)</f>
        <v>22283</v>
      </c>
      <c r="E33" s="139">
        <f t="shared" si="46"/>
        <v>16668</v>
      </c>
      <c r="F33" s="139">
        <f t="shared" si="46"/>
        <v>1862</v>
      </c>
      <c r="G33" s="139">
        <f t="shared" si="46"/>
        <v>830</v>
      </c>
      <c r="H33" s="139">
        <f t="shared" si="46"/>
        <v>2923</v>
      </c>
      <c r="I33" s="25"/>
      <c r="J33" s="6" t="s">
        <v>28</v>
      </c>
      <c r="K33" s="8"/>
      <c r="L33" s="244"/>
      <c r="M33" s="141">
        <f>SUM(N33:Q33)</f>
        <v>0</v>
      </c>
      <c r="N33" s="244"/>
      <c r="O33" s="244"/>
      <c r="P33" s="244"/>
      <c r="Q33" s="244"/>
      <c r="R33" s="6" t="s">
        <v>28</v>
      </c>
      <c r="S33" s="8">
        <v>68.099999999999994</v>
      </c>
      <c r="T33" s="244">
        <v>22862</v>
      </c>
      <c r="U33" s="141">
        <f>SUM(V33:Y33)</f>
        <v>22283</v>
      </c>
      <c r="V33" s="244">
        <v>16668</v>
      </c>
      <c r="W33" s="244">
        <v>1862</v>
      </c>
      <c r="X33" s="244">
        <v>830</v>
      </c>
      <c r="Y33" s="244">
        <v>2923</v>
      </c>
      <c r="Z33" s="203"/>
      <c r="AA33" s="6" t="s">
        <v>28</v>
      </c>
      <c r="AB33" s="8">
        <v>68.099999999999994</v>
      </c>
      <c r="AC33" s="244">
        <v>22862</v>
      </c>
      <c r="AD33" s="141">
        <f>SUM(AE33:AH33)</f>
        <v>22283</v>
      </c>
      <c r="AE33" s="244">
        <v>16668</v>
      </c>
      <c r="AF33" s="244">
        <v>1862</v>
      </c>
      <c r="AG33" s="244">
        <v>830</v>
      </c>
      <c r="AH33" s="244">
        <v>2923</v>
      </c>
      <c r="AI33" s="203"/>
      <c r="AJ33" s="6" t="s">
        <v>28</v>
      </c>
      <c r="AK33" s="8"/>
      <c r="AL33" s="244"/>
      <c r="AM33" s="141">
        <f>SUM(AN33:AQ33)</f>
        <v>0</v>
      </c>
      <c r="AN33" s="244"/>
      <c r="AO33" s="244"/>
      <c r="AP33" s="244"/>
      <c r="AQ33" s="244"/>
    </row>
    <row r="34" spans="1:43">
      <c r="A34" s="6" t="s">
        <v>12</v>
      </c>
      <c r="B34" s="147">
        <f t="shared" ref="B34:H34" si="47">B33/B32%</f>
        <v>101.79372197309415</v>
      </c>
      <c r="C34" s="147">
        <f t="shared" si="47"/>
        <v>131.716310422308</v>
      </c>
      <c r="D34" s="147">
        <f t="shared" si="47"/>
        <v>140.98702942106928</v>
      </c>
      <c r="E34" s="147">
        <f t="shared" si="47"/>
        <v>154.87827541349191</v>
      </c>
      <c r="F34" s="147">
        <f t="shared" si="47"/>
        <v>71.368340360291299</v>
      </c>
      <c r="G34" s="147">
        <f t="shared" si="47"/>
        <v>471.59090909090907</v>
      </c>
      <c r="H34" s="147">
        <f t="shared" si="47"/>
        <v>129.45084145261293</v>
      </c>
      <c r="J34" s="6" t="s">
        <v>12</v>
      </c>
      <c r="K34" s="147">
        <f t="shared" ref="K34:Q34" si="48">K33/K32%</f>
        <v>0</v>
      </c>
      <c r="L34" s="147">
        <f t="shared" si="48"/>
        <v>0</v>
      </c>
      <c r="M34" s="147">
        <f t="shared" si="48"/>
        <v>0</v>
      </c>
      <c r="N34" s="147">
        <f t="shared" si="48"/>
        <v>0</v>
      </c>
      <c r="O34" s="147">
        <f t="shared" si="48"/>
        <v>0</v>
      </c>
      <c r="P34" s="147">
        <f t="shared" si="48"/>
        <v>0</v>
      </c>
      <c r="Q34" s="147">
        <f t="shared" si="48"/>
        <v>0</v>
      </c>
      <c r="R34" s="6" t="s">
        <v>12</v>
      </c>
      <c r="S34" s="147">
        <f t="shared" ref="S34:Y34" si="49">S33/S32%</f>
        <v>102.87009063444107</v>
      </c>
      <c r="T34" s="147">
        <f t="shared" si="49"/>
        <v>131.82263737530991</v>
      </c>
      <c r="U34" s="147">
        <f t="shared" si="49"/>
        <v>141.11202583750239</v>
      </c>
      <c r="V34" s="147">
        <f t="shared" si="49"/>
        <v>155.00790477076166</v>
      </c>
      <c r="W34" s="147">
        <f t="shared" si="49"/>
        <v>71.423091676256234</v>
      </c>
      <c r="X34" s="147">
        <f t="shared" si="49"/>
        <v>474.28571428571428</v>
      </c>
      <c r="Y34" s="147">
        <f t="shared" si="49"/>
        <v>129.56560283687944</v>
      </c>
      <c r="Z34" s="203"/>
      <c r="AA34" s="6" t="s">
        <v>12</v>
      </c>
      <c r="AB34" s="147">
        <f t="shared" ref="AB34:AH34" si="50">AB33/AB32%</f>
        <v>103.18181818181817</v>
      </c>
      <c r="AC34" s="147">
        <f t="shared" si="50"/>
        <v>132.18849378433075</v>
      </c>
      <c r="AD34" s="147">
        <f t="shared" si="50"/>
        <v>141.5153054744062</v>
      </c>
      <c r="AE34" s="147">
        <f t="shared" si="50"/>
        <v>155.44157418632844</v>
      </c>
      <c r="AF34" s="147">
        <f t="shared" si="50"/>
        <v>71.642939592150825</v>
      </c>
      <c r="AG34" s="147">
        <f t="shared" si="50"/>
        <v>477.01149425287355</v>
      </c>
      <c r="AH34" s="147">
        <f t="shared" si="50"/>
        <v>129.9111111111111</v>
      </c>
      <c r="AI34" s="203"/>
      <c r="AJ34" s="6" t="s">
        <v>12</v>
      </c>
      <c r="AK34" s="147" t="e">
        <f t="shared" ref="AK34:AQ34" si="51">AK33/AK32%</f>
        <v>#DIV/0!</v>
      </c>
      <c r="AL34" s="147" t="e">
        <f t="shared" si="51"/>
        <v>#DIV/0!</v>
      </c>
      <c r="AM34" s="147" t="e">
        <f t="shared" si="51"/>
        <v>#DIV/0!</v>
      </c>
      <c r="AN34" s="147" t="e">
        <f t="shared" si="51"/>
        <v>#DIV/0!</v>
      </c>
      <c r="AO34" s="147" t="e">
        <f t="shared" si="51"/>
        <v>#DIV/0!</v>
      </c>
      <c r="AP34" s="147" t="e">
        <f t="shared" si="51"/>
        <v>#DIV/0!</v>
      </c>
      <c r="AQ34" s="147" t="e">
        <f t="shared" si="51"/>
        <v>#DIV/0!</v>
      </c>
    </row>
    <row r="35" spans="1:43">
      <c r="A35" s="6" t="s">
        <v>29</v>
      </c>
      <c r="B35" s="142">
        <f>SUM(K35,S35,AK35)</f>
        <v>240.29999999999998</v>
      </c>
      <c r="C35" s="143">
        <f>SUM(L35,T35,AL35)</f>
        <v>21384</v>
      </c>
      <c r="D35" s="144">
        <f>SUM(E35:H35)</f>
        <v>18655</v>
      </c>
      <c r="E35" s="143">
        <f t="shared" ref="E35:H36" si="52">SUM(N35,V35,AN35)</f>
        <v>1498</v>
      </c>
      <c r="F35" s="143">
        <f t="shared" si="52"/>
        <v>5367</v>
      </c>
      <c r="G35" s="143">
        <f t="shared" si="52"/>
        <v>1092</v>
      </c>
      <c r="H35" s="143">
        <f t="shared" si="52"/>
        <v>10698</v>
      </c>
      <c r="J35" s="6" t="s">
        <v>29</v>
      </c>
      <c r="K35" s="145">
        <v>0.5</v>
      </c>
      <c r="L35" s="146">
        <v>20</v>
      </c>
      <c r="M35" s="144">
        <f>SUM(N35:Q35)</f>
        <v>17</v>
      </c>
      <c r="N35" s="146">
        <v>1</v>
      </c>
      <c r="O35" s="146">
        <v>4</v>
      </c>
      <c r="P35" s="146">
        <v>1</v>
      </c>
      <c r="Q35" s="146">
        <v>11</v>
      </c>
      <c r="R35" s="6" t="s">
        <v>29</v>
      </c>
      <c r="S35" s="145">
        <v>239.7</v>
      </c>
      <c r="T35" s="146">
        <v>21357</v>
      </c>
      <c r="U35" s="144">
        <f>SUM(V35:Y35)</f>
        <v>18631</v>
      </c>
      <c r="V35" s="146">
        <v>1496</v>
      </c>
      <c r="W35" s="146">
        <v>5361</v>
      </c>
      <c r="X35" s="146">
        <v>1090</v>
      </c>
      <c r="Y35" s="146">
        <v>10684</v>
      </c>
      <c r="Z35" s="203"/>
      <c r="AA35" s="6" t="s">
        <v>29</v>
      </c>
      <c r="AB35" s="145">
        <v>1.5</v>
      </c>
      <c r="AC35" s="146">
        <v>140</v>
      </c>
      <c r="AD35" s="144">
        <f>SUM(AE35:AH35)</f>
        <v>125</v>
      </c>
      <c r="AE35" s="146">
        <v>12</v>
      </c>
      <c r="AF35" s="146">
        <v>37</v>
      </c>
      <c r="AG35" s="146">
        <v>10</v>
      </c>
      <c r="AH35" s="146">
        <v>66</v>
      </c>
      <c r="AI35" s="203"/>
      <c r="AJ35" s="6" t="s">
        <v>29</v>
      </c>
      <c r="AK35" s="145">
        <v>0.1</v>
      </c>
      <c r="AL35" s="146">
        <v>7</v>
      </c>
      <c r="AM35" s="144">
        <f>SUM(AN35:AQ35)</f>
        <v>7</v>
      </c>
      <c r="AN35" s="146">
        <v>1</v>
      </c>
      <c r="AO35" s="146">
        <v>2</v>
      </c>
      <c r="AP35" s="146">
        <v>1</v>
      </c>
      <c r="AQ35" s="146">
        <v>3</v>
      </c>
    </row>
    <row r="36" spans="1:43">
      <c r="A36" s="6" t="s">
        <v>30</v>
      </c>
      <c r="B36" s="138">
        <f>SUM(K36,S36,AK36)</f>
        <v>191.60000000000002</v>
      </c>
      <c r="C36" s="139">
        <f>SUM(L36,T36,AL36)</f>
        <v>19486</v>
      </c>
      <c r="D36" s="140">
        <f>SUM(E36:H36)</f>
        <v>17041</v>
      </c>
      <c r="E36" s="139">
        <f t="shared" si="52"/>
        <v>1308</v>
      </c>
      <c r="F36" s="139">
        <f t="shared" si="52"/>
        <v>4856</v>
      </c>
      <c r="G36" s="139">
        <f t="shared" si="52"/>
        <v>997</v>
      </c>
      <c r="H36" s="139">
        <f t="shared" si="52"/>
        <v>9880</v>
      </c>
      <c r="J36" s="6" t="s">
        <v>30</v>
      </c>
      <c r="K36" s="8">
        <v>1.8</v>
      </c>
      <c r="L36" s="244">
        <v>313</v>
      </c>
      <c r="M36" s="141">
        <f>SUM(N36:Q36)</f>
        <v>281</v>
      </c>
      <c r="N36" s="244">
        <v>12</v>
      </c>
      <c r="O36" s="244">
        <v>46</v>
      </c>
      <c r="P36" s="244">
        <v>8</v>
      </c>
      <c r="Q36" s="244">
        <v>215</v>
      </c>
      <c r="R36" s="6" t="s">
        <v>30</v>
      </c>
      <c r="S36" s="8">
        <v>189.8</v>
      </c>
      <c r="T36" s="244">
        <v>19173</v>
      </c>
      <c r="U36" s="141">
        <f>SUM(V36:Y36)</f>
        <v>16760</v>
      </c>
      <c r="V36" s="244">
        <v>1296</v>
      </c>
      <c r="W36" s="244">
        <v>4810</v>
      </c>
      <c r="X36" s="244">
        <v>989</v>
      </c>
      <c r="Y36" s="244">
        <v>9665</v>
      </c>
      <c r="Z36" s="203"/>
      <c r="AA36" s="6" t="s">
        <v>30</v>
      </c>
      <c r="AB36" s="8">
        <v>2.2000000000000002</v>
      </c>
      <c r="AC36" s="244">
        <v>335</v>
      </c>
      <c r="AD36" s="141">
        <f>SUM(AE36:AH36)</f>
        <v>309</v>
      </c>
      <c r="AE36" s="244">
        <v>6</v>
      </c>
      <c r="AF36" s="244">
        <v>67</v>
      </c>
      <c r="AG36" s="244">
        <v>15</v>
      </c>
      <c r="AH36" s="244">
        <v>221</v>
      </c>
      <c r="AI36" s="203"/>
      <c r="AJ36" s="6" t="s">
        <v>30</v>
      </c>
      <c r="AK36" s="8"/>
      <c r="AL36" s="244"/>
      <c r="AM36" s="141">
        <f>SUM(AN36:AQ36)</f>
        <v>0</v>
      </c>
      <c r="AN36" s="244"/>
      <c r="AO36" s="244"/>
      <c r="AP36" s="244"/>
      <c r="AQ36" s="244"/>
    </row>
    <row r="37" spans="1:43">
      <c r="A37" s="6" t="s">
        <v>12</v>
      </c>
      <c r="B37" s="147">
        <f t="shared" ref="B37:H37" si="53">B36/B35%</f>
        <v>79.733666250520187</v>
      </c>
      <c r="C37" s="147">
        <f t="shared" si="53"/>
        <v>91.124205013093899</v>
      </c>
      <c r="D37" s="147">
        <f t="shared" si="53"/>
        <v>91.34816403109086</v>
      </c>
      <c r="E37" s="147">
        <f t="shared" si="53"/>
        <v>87.31642189586114</v>
      </c>
      <c r="F37" s="147">
        <f t="shared" si="53"/>
        <v>90.478852245202162</v>
      </c>
      <c r="G37" s="147">
        <f t="shared" si="53"/>
        <v>91.300366300366306</v>
      </c>
      <c r="H37" s="147">
        <f t="shared" si="53"/>
        <v>92.353710974013836</v>
      </c>
      <c r="J37" s="6" t="s">
        <v>12</v>
      </c>
      <c r="K37" s="147">
        <f t="shared" ref="K37:Q37" si="54">K36/K35%</f>
        <v>360</v>
      </c>
      <c r="L37" s="147">
        <f t="shared" si="54"/>
        <v>1565</v>
      </c>
      <c r="M37" s="147">
        <f t="shared" si="54"/>
        <v>1652.9411764705881</v>
      </c>
      <c r="N37" s="147">
        <f t="shared" si="54"/>
        <v>1200</v>
      </c>
      <c r="O37" s="147">
        <f t="shared" si="54"/>
        <v>1150</v>
      </c>
      <c r="P37" s="147">
        <f t="shared" si="54"/>
        <v>800</v>
      </c>
      <c r="Q37" s="147">
        <f t="shared" si="54"/>
        <v>1954.5454545454545</v>
      </c>
      <c r="R37" s="6" t="s">
        <v>12</v>
      </c>
      <c r="S37" s="147">
        <f t="shared" ref="S37:Y37" si="55">S36/S35%</f>
        <v>79.182311222361292</v>
      </c>
      <c r="T37" s="147">
        <f t="shared" si="55"/>
        <v>89.773844641101277</v>
      </c>
      <c r="U37" s="147">
        <f t="shared" si="55"/>
        <v>89.957597552466325</v>
      </c>
      <c r="V37" s="147">
        <f t="shared" si="55"/>
        <v>86.631016042780743</v>
      </c>
      <c r="W37" s="147">
        <f t="shared" si="55"/>
        <v>89.722066778586083</v>
      </c>
      <c r="X37" s="147">
        <f t="shared" si="55"/>
        <v>90.733944954128432</v>
      </c>
      <c r="Y37" s="147">
        <f t="shared" si="55"/>
        <v>90.4623736428304</v>
      </c>
      <c r="Z37" s="203"/>
      <c r="AA37" s="6" t="s">
        <v>12</v>
      </c>
      <c r="AB37" s="147">
        <f t="shared" ref="AB37:AH37" si="56">AB36/AB35%</f>
        <v>146.66666666666669</v>
      </c>
      <c r="AC37" s="147">
        <f t="shared" si="56"/>
        <v>239.28571428571431</v>
      </c>
      <c r="AD37" s="147">
        <f t="shared" si="56"/>
        <v>247.2</v>
      </c>
      <c r="AE37" s="147">
        <f t="shared" si="56"/>
        <v>50</v>
      </c>
      <c r="AF37" s="147">
        <f t="shared" si="56"/>
        <v>181.08108108108109</v>
      </c>
      <c r="AG37" s="147">
        <f t="shared" si="56"/>
        <v>150</v>
      </c>
      <c r="AH37" s="147">
        <f t="shared" si="56"/>
        <v>334.84848484848482</v>
      </c>
      <c r="AI37" s="203"/>
      <c r="AJ37" s="6" t="s">
        <v>12</v>
      </c>
      <c r="AK37" s="147">
        <f t="shared" ref="AK37:AQ37" si="57">AK36/AK35%</f>
        <v>0</v>
      </c>
      <c r="AL37" s="147">
        <f t="shared" si="57"/>
        <v>0</v>
      </c>
      <c r="AM37" s="147">
        <f t="shared" si="57"/>
        <v>0</v>
      </c>
      <c r="AN37" s="147">
        <f t="shared" si="57"/>
        <v>0</v>
      </c>
      <c r="AO37" s="147">
        <f t="shared" si="57"/>
        <v>0</v>
      </c>
      <c r="AP37" s="147">
        <f t="shared" si="57"/>
        <v>0</v>
      </c>
      <c r="AQ37" s="147">
        <f t="shared" si="57"/>
        <v>0</v>
      </c>
    </row>
    <row r="38" spans="1:43">
      <c r="A38" s="6" t="s">
        <v>31</v>
      </c>
      <c r="B38" s="142">
        <f>SUM(K38,S38,AK38)</f>
        <v>149.19999999999999</v>
      </c>
      <c r="C38" s="143">
        <f>SUM(L38,T38,AL38)</f>
        <v>10026</v>
      </c>
      <c r="D38" s="144">
        <f>SUM(E38:H38)</f>
        <v>8339</v>
      </c>
      <c r="E38" s="143">
        <f t="shared" ref="E38:H39" si="58">SUM(N38,V38,AN38)</f>
        <v>1676</v>
      </c>
      <c r="F38" s="143">
        <f t="shared" si="58"/>
        <v>1674</v>
      </c>
      <c r="G38" s="143">
        <f t="shared" si="58"/>
        <v>330</v>
      </c>
      <c r="H38" s="143">
        <f t="shared" si="58"/>
        <v>4659</v>
      </c>
      <c r="J38" s="6" t="s">
        <v>31</v>
      </c>
      <c r="K38" s="145">
        <v>80.400000000000006</v>
      </c>
      <c r="L38" s="146">
        <v>4013</v>
      </c>
      <c r="M38" s="144">
        <f>SUM(N38:Q38)</f>
        <v>3354</v>
      </c>
      <c r="N38" s="146">
        <v>560</v>
      </c>
      <c r="O38" s="146">
        <v>820</v>
      </c>
      <c r="P38" s="146">
        <v>163</v>
      </c>
      <c r="Q38" s="146">
        <v>1811</v>
      </c>
      <c r="R38" s="6" t="s">
        <v>31</v>
      </c>
      <c r="S38" s="145">
        <v>68.3</v>
      </c>
      <c r="T38" s="146">
        <v>5957</v>
      </c>
      <c r="U38" s="144">
        <f>SUM(V38:Y38)</f>
        <v>4939</v>
      </c>
      <c r="V38" s="146">
        <v>1107</v>
      </c>
      <c r="W38" s="146">
        <v>846</v>
      </c>
      <c r="X38" s="146">
        <v>166</v>
      </c>
      <c r="Y38" s="146">
        <v>2820</v>
      </c>
      <c r="Z38" s="203"/>
      <c r="AA38" s="6" t="s">
        <v>31</v>
      </c>
      <c r="AB38" s="145">
        <v>33.700000000000003</v>
      </c>
      <c r="AC38" s="146">
        <v>4995</v>
      </c>
      <c r="AD38" s="144">
        <f>SUM(AE38:AH38)</f>
        <v>4203</v>
      </c>
      <c r="AE38" s="146">
        <v>1021</v>
      </c>
      <c r="AF38" s="146">
        <v>748</v>
      </c>
      <c r="AG38" s="146">
        <v>146</v>
      </c>
      <c r="AH38" s="146">
        <v>2288</v>
      </c>
      <c r="AI38" s="203"/>
      <c r="AJ38" s="6" t="s">
        <v>31</v>
      </c>
      <c r="AK38" s="145">
        <v>0.5</v>
      </c>
      <c r="AL38" s="146">
        <v>56</v>
      </c>
      <c r="AM38" s="144">
        <f>SUM(AN38:AQ38)</f>
        <v>46</v>
      </c>
      <c r="AN38" s="146">
        <v>9</v>
      </c>
      <c r="AO38" s="146">
        <v>8</v>
      </c>
      <c r="AP38" s="146">
        <v>1</v>
      </c>
      <c r="AQ38" s="146">
        <v>28</v>
      </c>
    </row>
    <row r="39" spans="1:43">
      <c r="A39" s="6" t="s">
        <v>32</v>
      </c>
      <c r="B39" s="138">
        <f>SUM(K39,S39,AK39)</f>
        <v>105.4</v>
      </c>
      <c r="C39" s="139">
        <f>SUM(L39,T39,AL39)</f>
        <v>6546</v>
      </c>
      <c r="D39" s="140">
        <f>SUM(E39:H39)</f>
        <v>5977</v>
      </c>
      <c r="E39" s="139">
        <f t="shared" si="58"/>
        <v>901</v>
      </c>
      <c r="F39" s="139">
        <f t="shared" si="58"/>
        <v>1094</v>
      </c>
      <c r="G39" s="139">
        <f t="shared" si="58"/>
        <v>153</v>
      </c>
      <c r="H39" s="139">
        <f t="shared" si="58"/>
        <v>3829</v>
      </c>
      <c r="J39" s="6" t="s">
        <v>32</v>
      </c>
      <c r="K39" s="8">
        <v>69.7</v>
      </c>
      <c r="L39" s="244">
        <v>2851</v>
      </c>
      <c r="M39" s="141">
        <f>SUM(N39:Q39)</f>
        <v>2794</v>
      </c>
      <c r="N39" s="244">
        <v>261</v>
      </c>
      <c r="O39" s="244">
        <v>583</v>
      </c>
      <c r="P39" s="244">
        <v>58</v>
      </c>
      <c r="Q39" s="244">
        <v>1892</v>
      </c>
      <c r="R39" s="6" t="s">
        <v>32</v>
      </c>
      <c r="S39" s="8">
        <v>35.700000000000003</v>
      </c>
      <c r="T39" s="244">
        <v>3695</v>
      </c>
      <c r="U39" s="141">
        <f>SUM(V39:Y39)</f>
        <v>3183</v>
      </c>
      <c r="V39" s="244">
        <v>640</v>
      </c>
      <c r="W39" s="244">
        <v>511</v>
      </c>
      <c r="X39" s="244">
        <v>95</v>
      </c>
      <c r="Y39" s="244">
        <v>1937</v>
      </c>
      <c r="Z39" s="203"/>
      <c r="AA39" s="6" t="s">
        <v>32</v>
      </c>
      <c r="AB39" s="8">
        <v>27.1</v>
      </c>
      <c r="AC39" s="244">
        <v>3243</v>
      </c>
      <c r="AD39" s="141">
        <f>SUM(AE39:AH39)</f>
        <v>2748</v>
      </c>
      <c r="AE39" s="244">
        <v>640</v>
      </c>
      <c r="AF39" s="244">
        <v>469</v>
      </c>
      <c r="AG39" s="244">
        <v>92</v>
      </c>
      <c r="AH39" s="244">
        <v>1547</v>
      </c>
      <c r="AI39" s="203"/>
      <c r="AJ39" s="6" t="s">
        <v>32</v>
      </c>
      <c r="AK39" s="8"/>
      <c r="AL39" s="244"/>
      <c r="AM39" s="141">
        <f>SUM(AN39:AQ39)</f>
        <v>0</v>
      </c>
      <c r="AN39" s="244"/>
      <c r="AO39" s="244"/>
      <c r="AP39" s="244"/>
      <c r="AQ39" s="244"/>
    </row>
    <row r="40" spans="1:43">
      <c r="A40" s="6" t="s">
        <v>12</v>
      </c>
      <c r="B40" s="147">
        <f t="shared" ref="B40:H40" si="59">B39/B38%</f>
        <v>70.643431635388751</v>
      </c>
      <c r="C40" s="147">
        <f t="shared" si="59"/>
        <v>65.290245362058641</v>
      </c>
      <c r="D40" s="147">
        <f t="shared" si="59"/>
        <v>71.67526082264061</v>
      </c>
      <c r="E40" s="147">
        <f t="shared" si="59"/>
        <v>53.758949880668254</v>
      </c>
      <c r="F40" s="147">
        <f t="shared" si="59"/>
        <v>65.352449223416968</v>
      </c>
      <c r="G40" s="147">
        <f t="shared" si="59"/>
        <v>46.363636363636367</v>
      </c>
      <c r="H40" s="147">
        <f t="shared" si="59"/>
        <v>82.185018244258416</v>
      </c>
      <c r="J40" s="6" t="s">
        <v>12</v>
      </c>
      <c r="K40" s="147">
        <f>K39/K38%</f>
        <v>86.691542288557216</v>
      </c>
      <c r="L40" s="147">
        <f t="shared" ref="L40:Q40" si="60">L39/L38%</f>
        <v>71.044106653376517</v>
      </c>
      <c r="M40" s="147">
        <f t="shared" si="60"/>
        <v>83.303518187239121</v>
      </c>
      <c r="N40" s="147">
        <f t="shared" si="60"/>
        <v>46.607142857142861</v>
      </c>
      <c r="O40" s="147">
        <f t="shared" si="60"/>
        <v>71.097560975609767</v>
      </c>
      <c r="P40" s="147">
        <f t="shared" si="60"/>
        <v>35.582822085889575</v>
      </c>
      <c r="Q40" s="147">
        <f t="shared" si="60"/>
        <v>104.47266703478742</v>
      </c>
      <c r="R40" s="6" t="s">
        <v>12</v>
      </c>
      <c r="S40" s="147">
        <f t="shared" ref="S40:Y40" si="61">S39/S38%</f>
        <v>52.269399707174237</v>
      </c>
      <c r="T40" s="147">
        <f t="shared" si="61"/>
        <v>62.027866375692462</v>
      </c>
      <c r="U40" s="147">
        <f t="shared" si="61"/>
        <v>64.446244178983605</v>
      </c>
      <c r="V40" s="147">
        <f t="shared" si="61"/>
        <v>57.813911472448055</v>
      </c>
      <c r="W40" s="147">
        <f t="shared" si="61"/>
        <v>60.401891252955075</v>
      </c>
      <c r="X40" s="147">
        <f t="shared" si="61"/>
        <v>57.228915662650607</v>
      </c>
      <c r="Y40" s="147">
        <f t="shared" si="61"/>
        <v>68.687943262411352</v>
      </c>
      <c r="Z40" s="203"/>
      <c r="AA40" s="6" t="s">
        <v>12</v>
      </c>
      <c r="AB40" s="147">
        <f t="shared" ref="AB40:AH40" si="62">AB39/AB38%</f>
        <v>80.41543026706232</v>
      </c>
      <c r="AC40" s="147">
        <f t="shared" si="62"/>
        <v>64.924924924924923</v>
      </c>
      <c r="AD40" s="147">
        <f t="shared" si="62"/>
        <v>65.381870092790862</v>
      </c>
      <c r="AE40" s="147">
        <f t="shared" si="62"/>
        <v>62.683643486777662</v>
      </c>
      <c r="AF40" s="147">
        <f t="shared" si="62"/>
        <v>62.700534759358284</v>
      </c>
      <c r="AG40" s="147">
        <f t="shared" si="62"/>
        <v>63.013698630136986</v>
      </c>
      <c r="AH40" s="147">
        <f t="shared" si="62"/>
        <v>67.61363636363636</v>
      </c>
      <c r="AI40" s="203"/>
      <c r="AJ40" s="6" t="s">
        <v>12</v>
      </c>
      <c r="AK40" s="147">
        <f t="shared" ref="AK40:AQ40" si="63">AK39/AK38%</f>
        <v>0</v>
      </c>
      <c r="AL40" s="147">
        <f t="shared" si="63"/>
        <v>0</v>
      </c>
      <c r="AM40" s="147">
        <f t="shared" si="63"/>
        <v>0</v>
      </c>
      <c r="AN40" s="147">
        <f t="shared" si="63"/>
        <v>0</v>
      </c>
      <c r="AO40" s="147">
        <f t="shared" si="63"/>
        <v>0</v>
      </c>
      <c r="AP40" s="147">
        <f t="shared" si="63"/>
        <v>0</v>
      </c>
      <c r="AQ40" s="147">
        <f t="shared" si="63"/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64">K9+S9+AK9</f>
        <v>550.1</v>
      </c>
      <c r="C46" s="83">
        <f t="shared" si="64"/>
        <v>53938</v>
      </c>
      <c r="D46" s="83">
        <f t="shared" si="64"/>
        <v>47114</v>
      </c>
      <c r="E46" s="83">
        <f t="shared" si="64"/>
        <v>14467</v>
      </c>
      <c r="F46" s="83">
        <f t="shared" si="64"/>
        <v>11035</v>
      </c>
      <c r="G46" s="83">
        <f t="shared" si="64"/>
        <v>1797</v>
      </c>
      <c r="H46" s="83">
        <f t="shared" si="64"/>
        <v>19815</v>
      </c>
    </row>
    <row r="47" spans="1:43">
      <c r="A47" s="84" t="s">
        <v>50</v>
      </c>
      <c r="B47" s="83">
        <f t="shared" si="64"/>
        <v>433.8</v>
      </c>
      <c r="C47" s="83">
        <f t="shared" si="64"/>
        <v>50997</v>
      </c>
      <c r="D47" s="83">
        <f t="shared" si="64"/>
        <v>47285</v>
      </c>
      <c r="E47" s="83">
        <f t="shared" si="64"/>
        <v>18980</v>
      </c>
      <c r="F47" s="83">
        <f t="shared" si="64"/>
        <v>8023</v>
      </c>
      <c r="G47" s="83">
        <f t="shared" si="64"/>
        <v>1992</v>
      </c>
      <c r="H47" s="83">
        <f t="shared" si="64"/>
        <v>18290</v>
      </c>
    </row>
    <row r="48" spans="1:43">
      <c r="A48" s="85" t="s">
        <v>44</v>
      </c>
      <c r="B48" s="86">
        <f>B47/B46*100</f>
        <v>78.858389383748403</v>
      </c>
      <c r="C48" s="86">
        <f t="shared" ref="C48:H48" si="65">C47/C46*100</f>
        <v>94.547443360895841</v>
      </c>
      <c r="D48" s="86">
        <f t="shared" si="65"/>
        <v>100.36294944177951</v>
      </c>
      <c r="E48" s="86">
        <f t="shared" si="65"/>
        <v>131.19513375267852</v>
      </c>
      <c r="F48" s="86">
        <f t="shared" si="65"/>
        <v>72.705029451744451</v>
      </c>
      <c r="G48" s="86">
        <f t="shared" si="65"/>
        <v>110.85141903171953</v>
      </c>
      <c r="H48" s="86">
        <f t="shared" si="65"/>
        <v>92.30381024476408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6">K13+S13+AK13</f>
        <v>28.099999999999998</v>
      </c>
      <c r="C50" s="90">
        <f t="shared" si="66"/>
        <v>1862</v>
      </c>
      <c r="D50" s="90">
        <f t="shared" si="66"/>
        <v>1382</v>
      </c>
      <c r="E50" s="90">
        <f t="shared" si="66"/>
        <v>242</v>
      </c>
      <c r="F50" s="90">
        <f t="shared" si="66"/>
        <v>575</v>
      </c>
      <c r="G50" s="90">
        <f t="shared" si="66"/>
        <v>79</v>
      </c>
      <c r="H50" s="90">
        <f t="shared" si="66"/>
        <v>486</v>
      </c>
    </row>
    <row r="51" spans="1:8">
      <c r="A51" s="75" t="s">
        <v>50</v>
      </c>
      <c r="B51" s="90">
        <f t="shared" si="66"/>
        <v>25.4</v>
      </c>
      <c r="C51" s="90">
        <f t="shared" si="66"/>
        <v>829</v>
      </c>
      <c r="D51" s="90">
        <f t="shared" si="66"/>
        <v>743</v>
      </c>
      <c r="E51" s="90">
        <f t="shared" si="66"/>
        <v>87</v>
      </c>
      <c r="F51" s="90">
        <f t="shared" si="66"/>
        <v>145</v>
      </c>
      <c r="G51" s="90">
        <f t="shared" si="66"/>
        <v>9</v>
      </c>
      <c r="H51" s="90">
        <f t="shared" si="66"/>
        <v>502</v>
      </c>
    </row>
    <row r="52" spans="1:8">
      <c r="A52" s="75" t="s">
        <v>44</v>
      </c>
      <c r="B52" s="91">
        <f t="shared" ref="B52:H52" si="67">B51/B50*100</f>
        <v>90.391459074733092</v>
      </c>
      <c r="C52" s="91">
        <f t="shared" si="67"/>
        <v>44.522019334049411</v>
      </c>
      <c r="D52" s="91">
        <f t="shared" si="67"/>
        <v>53.762662807525331</v>
      </c>
      <c r="E52" s="91">
        <f t="shared" si="67"/>
        <v>35.950413223140501</v>
      </c>
      <c r="F52" s="91">
        <f t="shared" si="67"/>
        <v>25.217391304347824</v>
      </c>
      <c r="G52" s="91">
        <f t="shared" si="67"/>
        <v>11.39240506329114</v>
      </c>
      <c r="H52" s="91">
        <f t="shared" si="67"/>
        <v>103.29218106995886</v>
      </c>
    </row>
    <row r="53" spans="1:8">
      <c r="A53" s="75" t="s">
        <v>13</v>
      </c>
      <c r="B53" s="90">
        <f t="shared" ref="B53:H55" si="68">K16+S16+AK16</f>
        <v>0.2</v>
      </c>
      <c r="C53" s="90">
        <f t="shared" si="68"/>
        <v>29</v>
      </c>
      <c r="D53" s="90">
        <f t="shared" si="68"/>
        <v>26</v>
      </c>
      <c r="E53" s="90">
        <f t="shared" si="68"/>
        <v>8</v>
      </c>
      <c r="F53" s="90">
        <f t="shared" si="68"/>
        <v>0</v>
      </c>
      <c r="G53" s="90">
        <f t="shared" si="68"/>
        <v>0</v>
      </c>
      <c r="H53" s="90">
        <f t="shared" si="68"/>
        <v>18</v>
      </c>
    </row>
    <row r="54" spans="1:8">
      <c r="A54" s="92" t="s">
        <v>14</v>
      </c>
      <c r="B54" s="90">
        <f t="shared" si="68"/>
        <v>0</v>
      </c>
      <c r="C54" s="90">
        <f t="shared" si="68"/>
        <v>0</v>
      </c>
      <c r="D54" s="90">
        <f t="shared" si="68"/>
        <v>0</v>
      </c>
      <c r="E54" s="90">
        <f t="shared" si="68"/>
        <v>0</v>
      </c>
      <c r="F54" s="90">
        <f t="shared" si="68"/>
        <v>0</v>
      </c>
      <c r="G54" s="90">
        <f t="shared" si="68"/>
        <v>0</v>
      </c>
      <c r="H54" s="90">
        <f t="shared" si="68"/>
        <v>0</v>
      </c>
    </row>
    <row r="55" spans="1:8">
      <c r="A55" s="75" t="s">
        <v>15</v>
      </c>
      <c r="B55" s="90">
        <f t="shared" si="68"/>
        <v>0</v>
      </c>
      <c r="C55" s="90">
        <f t="shared" si="68"/>
        <v>0</v>
      </c>
      <c r="D55" s="90">
        <f t="shared" si="68"/>
        <v>0</v>
      </c>
      <c r="E55" s="90">
        <f t="shared" si="68"/>
        <v>0</v>
      </c>
      <c r="F55" s="90">
        <f t="shared" si="68"/>
        <v>0</v>
      </c>
      <c r="G55" s="90">
        <f t="shared" si="68"/>
        <v>0</v>
      </c>
      <c r="H55" s="90">
        <f t="shared" si="68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9">K20+S20+AK20</f>
        <v>522</v>
      </c>
      <c r="C57" s="90">
        <f t="shared" si="69"/>
        <v>52076</v>
      </c>
      <c r="D57" s="90">
        <f t="shared" si="69"/>
        <v>45732</v>
      </c>
      <c r="E57" s="90">
        <f t="shared" si="69"/>
        <v>14225</v>
      </c>
      <c r="F57" s="90">
        <f t="shared" si="69"/>
        <v>10460</v>
      </c>
      <c r="G57" s="90">
        <f t="shared" si="69"/>
        <v>1718</v>
      </c>
      <c r="H57" s="90">
        <f t="shared" si="69"/>
        <v>19329</v>
      </c>
    </row>
    <row r="58" spans="1:8">
      <c r="A58" s="92" t="s">
        <v>50</v>
      </c>
      <c r="B58" s="90">
        <f t="shared" si="69"/>
        <v>408.4</v>
      </c>
      <c r="C58" s="90">
        <f t="shared" si="69"/>
        <v>50168</v>
      </c>
      <c r="D58" s="90">
        <f t="shared" si="69"/>
        <v>46542</v>
      </c>
      <c r="E58" s="90">
        <f t="shared" si="69"/>
        <v>18893</v>
      </c>
      <c r="F58" s="90">
        <f t="shared" si="69"/>
        <v>7878</v>
      </c>
      <c r="G58" s="90">
        <f t="shared" si="69"/>
        <v>1983</v>
      </c>
      <c r="H58" s="90">
        <f t="shared" si="69"/>
        <v>17788</v>
      </c>
    </row>
    <row r="59" spans="1:8">
      <c r="A59" s="75" t="s">
        <v>44</v>
      </c>
      <c r="B59" s="91">
        <f t="shared" ref="B59:H59" si="70">B58/B57*100</f>
        <v>78.237547892720301</v>
      </c>
      <c r="C59" s="91">
        <f t="shared" si="70"/>
        <v>96.336124126276985</v>
      </c>
      <c r="D59" s="91">
        <f t="shared" si="70"/>
        <v>101.77118866439254</v>
      </c>
      <c r="E59" s="91">
        <f t="shared" si="70"/>
        <v>132.81546572934974</v>
      </c>
      <c r="F59" s="91">
        <f t="shared" si="70"/>
        <v>75.315487571701723</v>
      </c>
      <c r="G59" s="91">
        <f t="shared" si="70"/>
        <v>115.42491268917345</v>
      </c>
      <c r="H59" s="91">
        <f t="shared" si="70"/>
        <v>92.027523410419576</v>
      </c>
    </row>
    <row r="60" spans="1:8">
      <c r="A60" s="75" t="s">
        <v>21</v>
      </c>
      <c r="B60" s="90">
        <f t="shared" ref="B60:H61" si="71">K23+S23+AK23</f>
        <v>0</v>
      </c>
      <c r="C60" s="90">
        <f t="shared" si="71"/>
        <v>0</v>
      </c>
      <c r="D60" s="90">
        <f t="shared" si="71"/>
        <v>0</v>
      </c>
      <c r="E60" s="90">
        <f t="shared" si="71"/>
        <v>0</v>
      </c>
      <c r="F60" s="90">
        <f t="shared" si="71"/>
        <v>0</v>
      </c>
      <c r="G60" s="90">
        <f t="shared" si="71"/>
        <v>0</v>
      </c>
      <c r="H60" s="90">
        <f t="shared" si="71"/>
        <v>0</v>
      </c>
    </row>
    <row r="61" spans="1:8">
      <c r="A61" s="75" t="s">
        <v>51</v>
      </c>
      <c r="B61" s="90">
        <f t="shared" si="71"/>
        <v>0</v>
      </c>
      <c r="C61" s="90">
        <f t="shared" si="71"/>
        <v>0</v>
      </c>
      <c r="D61" s="90">
        <f t="shared" si="71"/>
        <v>0</v>
      </c>
      <c r="E61" s="90">
        <f t="shared" si="71"/>
        <v>0</v>
      </c>
      <c r="F61" s="90">
        <f t="shared" si="71"/>
        <v>0</v>
      </c>
      <c r="G61" s="90">
        <f t="shared" si="71"/>
        <v>0</v>
      </c>
      <c r="H61" s="90">
        <f t="shared" si="71"/>
        <v>0</v>
      </c>
    </row>
    <row r="62" spans="1:8">
      <c r="A62" s="75" t="s">
        <v>12</v>
      </c>
      <c r="B62" s="91" t="e">
        <f t="shared" ref="B62:H62" si="72">B61/B60*100</f>
        <v>#DIV/0!</v>
      </c>
      <c r="C62" s="91" t="e">
        <f t="shared" si="72"/>
        <v>#DIV/0!</v>
      </c>
      <c r="D62" s="91" t="e">
        <f t="shared" si="72"/>
        <v>#DIV/0!</v>
      </c>
      <c r="E62" s="91" t="e">
        <f t="shared" si="72"/>
        <v>#DIV/0!</v>
      </c>
      <c r="F62" s="91" t="e">
        <f t="shared" si="72"/>
        <v>#DIV/0!</v>
      </c>
      <c r="G62" s="91" t="e">
        <f t="shared" si="72"/>
        <v>#DIV/0!</v>
      </c>
      <c r="H62" s="91" t="e">
        <f t="shared" si="72"/>
        <v>#DIV/0!</v>
      </c>
    </row>
    <row r="63" spans="1:8">
      <c r="A63" s="75" t="s">
        <v>23</v>
      </c>
      <c r="B63" s="90">
        <f t="shared" ref="B63:H64" si="73">K26+S26+AK26</f>
        <v>27.4</v>
      </c>
      <c r="C63" s="90">
        <f t="shared" si="73"/>
        <v>1392</v>
      </c>
      <c r="D63" s="90">
        <f t="shared" si="73"/>
        <v>1233</v>
      </c>
      <c r="E63" s="90">
        <f t="shared" si="73"/>
        <v>142</v>
      </c>
      <c r="F63" s="90">
        <f t="shared" si="73"/>
        <v>344</v>
      </c>
      <c r="G63" s="90">
        <f t="shared" si="73"/>
        <v>39</v>
      </c>
      <c r="H63" s="90">
        <f t="shared" si="73"/>
        <v>708</v>
      </c>
    </row>
    <row r="64" spans="1:8">
      <c r="A64" s="75" t="s">
        <v>45</v>
      </c>
      <c r="B64" s="90">
        <f t="shared" si="73"/>
        <v>24.9</v>
      </c>
      <c r="C64" s="90">
        <f t="shared" si="73"/>
        <v>646</v>
      </c>
      <c r="D64" s="90">
        <f t="shared" si="73"/>
        <v>625</v>
      </c>
      <c r="E64" s="90">
        <f t="shared" si="73"/>
        <v>3</v>
      </c>
      <c r="F64" s="90">
        <f t="shared" si="73"/>
        <v>32</v>
      </c>
      <c r="G64" s="90">
        <f t="shared" si="73"/>
        <v>1</v>
      </c>
      <c r="H64" s="90">
        <f t="shared" si="73"/>
        <v>589</v>
      </c>
    </row>
    <row r="65" spans="1:8">
      <c r="A65" s="75" t="s">
        <v>12</v>
      </c>
      <c r="B65" s="91">
        <f t="shared" ref="B65:H65" si="74">B64/B63*100</f>
        <v>90.87591240875912</v>
      </c>
      <c r="C65" s="91">
        <f t="shared" si="74"/>
        <v>46.40804597701149</v>
      </c>
      <c r="D65" s="91">
        <f t="shared" si="74"/>
        <v>50.689375506893754</v>
      </c>
      <c r="E65" s="91">
        <f t="shared" si="74"/>
        <v>2.112676056338028</v>
      </c>
      <c r="F65" s="91">
        <f t="shared" si="74"/>
        <v>9.3023255813953494</v>
      </c>
      <c r="G65" s="91">
        <f t="shared" si="74"/>
        <v>2.5641025641025639</v>
      </c>
      <c r="H65" s="91">
        <f t="shared" si="74"/>
        <v>83.192090395480221</v>
      </c>
    </row>
    <row r="66" spans="1:8">
      <c r="A66" s="75" t="s">
        <v>25</v>
      </c>
      <c r="B66" s="90">
        <f t="shared" ref="B66:H67" si="75">K29+S29+AK29</f>
        <v>38.200000000000003</v>
      </c>
      <c r="C66" s="90">
        <f t="shared" si="75"/>
        <v>1917</v>
      </c>
      <c r="D66" s="90">
        <f t="shared" si="75"/>
        <v>1700</v>
      </c>
      <c r="E66" s="90">
        <f t="shared" si="75"/>
        <v>147</v>
      </c>
      <c r="F66" s="90">
        <f t="shared" si="75"/>
        <v>466</v>
      </c>
      <c r="G66" s="90">
        <f t="shared" si="75"/>
        <v>81</v>
      </c>
      <c r="H66" s="90">
        <f t="shared" si="75"/>
        <v>1006</v>
      </c>
    </row>
    <row r="67" spans="1:8">
      <c r="A67" s="75" t="s">
        <v>46</v>
      </c>
      <c r="B67" s="90">
        <f t="shared" si="75"/>
        <v>18.399999999999999</v>
      </c>
      <c r="C67" s="90">
        <f t="shared" si="75"/>
        <v>628</v>
      </c>
      <c r="D67" s="90">
        <f t="shared" si="75"/>
        <v>616</v>
      </c>
      <c r="E67" s="90">
        <f t="shared" si="75"/>
        <v>13</v>
      </c>
      <c r="F67" s="90">
        <f t="shared" si="75"/>
        <v>34</v>
      </c>
      <c r="G67" s="90">
        <f t="shared" si="75"/>
        <v>2</v>
      </c>
      <c r="H67" s="90">
        <f t="shared" si="75"/>
        <v>567</v>
      </c>
    </row>
    <row r="68" spans="1:8">
      <c r="A68" s="75" t="s">
        <v>12</v>
      </c>
      <c r="B68" s="91">
        <f t="shared" ref="B68:H68" si="76">B67/B66*100</f>
        <v>48.167539267015705</v>
      </c>
      <c r="C68" s="91">
        <f t="shared" si="76"/>
        <v>32.759520083463741</v>
      </c>
      <c r="D68" s="91">
        <f t="shared" si="76"/>
        <v>36.235294117647058</v>
      </c>
      <c r="E68" s="91">
        <f t="shared" si="76"/>
        <v>8.8435374149659864</v>
      </c>
      <c r="F68" s="91">
        <f t="shared" si="76"/>
        <v>7.296137339055794</v>
      </c>
      <c r="G68" s="91">
        <f t="shared" si="76"/>
        <v>2.4691358024691357</v>
      </c>
      <c r="H68" s="91">
        <f t="shared" si="76"/>
        <v>56.361829025844933</v>
      </c>
    </row>
    <row r="69" spans="1:8">
      <c r="A69" s="75" t="s">
        <v>27</v>
      </c>
      <c r="B69" s="90">
        <f t="shared" ref="B69:H70" si="77">K32+S32+AK32</f>
        <v>66.900000000000006</v>
      </c>
      <c r="C69" s="90">
        <f t="shared" si="77"/>
        <v>17357</v>
      </c>
      <c r="D69" s="90">
        <f t="shared" si="77"/>
        <v>15805</v>
      </c>
      <c r="E69" s="90">
        <f t="shared" si="77"/>
        <v>10762</v>
      </c>
      <c r="F69" s="90">
        <f t="shared" si="77"/>
        <v>2609</v>
      </c>
      <c r="G69" s="90">
        <f t="shared" si="77"/>
        <v>176</v>
      </c>
      <c r="H69" s="90">
        <f t="shared" si="77"/>
        <v>2258</v>
      </c>
    </row>
    <row r="70" spans="1:8">
      <c r="A70" s="75" t="s">
        <v>47</v>
      </c>
      <c r="B70" s="90">
        <f t="shared" si="77"/>
        <v>68.099999999999994</v>
      </c>
      <c r="C70" s="90">
        <f t="shared" si="77"/>
        <v>22862</v>
      </c>
      <c r="D70" s="90">
        <f t="shared" si="77"/>
        <v>22283</v>
      </c>
      <c r="E70" s="90">
        <f t="shared" si="77"/>
        <v>16668</v>
      </c>
      <c r="F70" s="90">
        <f t="shared" si="77"/>
        <v>1862</v>
      </c>
      <c r="G70" s="90">
        <f t="shared" si="77"/>
        <v>830</v>
      </c>
      <c r="H70" s="90">
        <f t="shared" si="77"/>
        <v>2923</v>
      </c>
    </row>
    <row r="71" spans="1:8">
      <c r="A71" s="75" t="s">
        <v>12</v>
      </c>
      <c r="B71" s="91">
        <f t="shared" ref="B71:H71" si="78">B70/B69*100</f>
        <v>101.79372197309415</v>
      </c>
      <c r="C71" s="91">
        <f t="shared" si="78"/>
        <v>131.716310422308</v>
      </c>
      <c r="D71" s="91">
        <f t="shared" si="78"/>
        <v>140.98702942106928</v>
      </c>
      <c r="E71" s="91">
        <f t="shared" si="78"/>
        <v>154.87827541349191</v>
      </c>
      <c r="F71" s="91">
        <f t="shared" si="78"/>
        <v>71.368340360291299</v>
      </c>
      <c r="G71" s="91">
        <f t="shared" si="78"/>
        <v>471.59090909090907</v>
      </c>
      <c r="H71" s="91">
        <f t="shared" si="78"/>
        <v>129.45084145261293</v>
      </c>
    </row>
    <row r="72" spans="1:8">
      <c r="A72" s="75" t="s">
        <v>29</v>
      </c>
      <c r="B72" s="90">
        <f t="shared" ref="B72:H73" si="79">K35+S35+AK35</f>
        <v>240.29999999999998</v>
      </c>
      <c r="C72" s="90">
        <f t="shared" si="79"/>
        <v>21384</v>
      </c>
      <c r="D72" s="90">
        <f t="shared" si="79"/>
        <v>18655</v>
      </c>
      <c r="E72" s="90">
        <f t="shared" si="79"/>
        <v>1498</v>
      </c>
      <c r="F72" s="90">
        <f t="shared" si="79"/>
        <v>5367</v>
      </c>
      <c r="G72" s="90">
        <f t="shared" si="79"/>
        <v>1092</v>
      </c>
      <c r="H72" s="90">
        <f t="shared" si="79"/>
        <v>10698</v>
      </c>
    </row>
    <row r="73" spans="1:8">
      <c r="A73" s="75" t="s">
        <v>48</v>
      </c>
      <c r="B73" s="90">
        <f t="shared" si="79"/>
        <v>191.60000000000002</v>
      </c>
      <c r="C73" s="90">
        <f t="shared" si="79"/>
        <v>19486</v>
      </c>
      <c r="D73" s="90">
        <f t="shared" si="79"/>
        <v>17041</v>
      </c>
      <c r="E73" s="90">
        <f t="shared" si="79"/>
        <v>1308</v>
      </c>
      <c r="F73" s="90">
        <f t="shared" si="79"/>
        <v>4856</v>
      </c>
      <c r="G73" s="90">
        <f t="shared" si="79"/>
        <v>997</v>
      </c>
      <c r="H73" s="90">
        <f t="shared" si="79"/>
        <v>9880</v>
      </c>
    </row>
    <row r="74" spans="1:8">
      <c r="A74" s="75" t="s">
        <v>12</v>
      </c>
      <c r="B74" s="91">
        <f t="shared" ref="B74:H74" si="80">B73/B72*100</f>
        <v>79.733666250520201</v>
      </c>
      <c r="C74" s="91">
        <f t="shared" si="80"/>
        <v>91.124205013093899</v>
      </c>
      <c r="D74" s="91">
        <f t="shared" si="80"/>
        <v>91.34816403109086</v>
      </c>
      <c r="E74" s="91">
        <f t="shared" si="80"/>
        <v>87.316421895861154</v>
      </c>
      <c r="F74" s="91">
        <f t="shared" si="80"/>
        <v>90.478852245202162</v>
      </c>
      <c r="G74" s="91">
        <f t="shared" si="80"/>
        <v>91.300366300366292</v>
      </c>
      <c r="H74" s="91">
        <f t="shared" si="80"/>
        <v>92.353710974013836</v>
      </c>
    </row>
    <row r="75" spans="1:8">
      <c r="A75" s="75" t="s">
        <v>31</v>
      </c>
      <c r="B75" s="90">
        <f t="shared" ref="B75:H76" si="81">K38+S38+AK38</f>
        <v>149.19999999999999</v>
      </c>
      <c r="C75" s="90">
        <f t="shared" si="81"/>
        <v>10026</v>
      </c>
      <c r="D75" s="90">
        <f t="shared" si="81"/>
        <v>8339</v>
      </c>
      <c r="E75" s="90">
        <f t="shared" si="81"/>
        <v>1676</v>
      </c>
      <c r="F75" s="90">
        <f t="shared" si="81"/>
        <v>1674</v>
      </c>
      <c r="G75" s="90">
        <f t="shared" si="81"/>
        <v>330</v>
      </c>
      <c r="H75" s="90">
        <f t="shared" si="81"/>
        <v>4659</v>
      </c>
    </row>
    <row r="76" spans="1:8">
      <c r="A76" s="75" t="s">
        <v>52</v>
      </c>
      <c r="B76" s="90">
        <f t="shared" si="81"/>
        <v>105.4</v>
      </c>
      <c r="C76" s="90">
        <f t="shared" si="81"/>
        <v>6546</v>
      </c>
      <c r="D76" s="90">
        <f t="shared" si="81"/>
        <v>5977</v>
      </c>
      <c r="E76" s="90">
        <f t="shared" si="81"/>
        <v>901</v>
      </c>
      <c r="F76" s="90">
        <f t="shared" si="81"/>
        <v>1094</v>
      </c>
      <c r="G76" s="90">
        <f t="shared" si="81"/>
        <v>153</v>
      </c>
      <c r="H76" s="90">
        <f t="shared" si="81"/>
        <v>3829</v>
      </c>
    </row>
    <row r="77" spans="1:8">
      <c r="A77" s="75" t="s">
        <v>12</v>
      </c>
      <c r="B77" s="91">
        <f t="shared" ref="B77:H77" si="82">B76/B75*100</f>
        <v>70.643431635388751</v>
      </c>
      <c r="C77" s="91">
        <f t="shared" si="82"/>
        <v>65.290245362058656</v>
      </c>
      <c r="D77" s="91">
        <f t="shared" si="82"/>
        <v>71.67526082264061</v>
      </c>
      <c r="E77" s="91">
        <f t="shared" si="82"/>
        <v>53.758949880668261</v>
      </c>
      <c r="F77" s="91">
        <f t="shared" si="82"/>
        <v>65.352449223416968</v>
      </c>
      <c r="G77" s="91">
        <f t="shared" si="82"/>
        <v>46.36363636363636</v>
      </c>
      <c r="H77" s="91">
        <f t="shared" si="82"/>
        <v>82.18501824425843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3">B9-B46</f>
        <v>0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0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0</v>
      </c>
      <c r="C85" s="83">
        <f t="shared" si="83"/>
        <v>0</v>
      </c>
      <c r="D85" s="83">
        <f t="shared" si="83"/>
        <v>0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0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0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0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0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 t="e">
        <f t="shared" ref="B99:H114" si="84">B25-B62</f>
        <v>#DIV/0!</v>
      </c>
      <c r="C99" s="83" t="e">
        <f t="shared" si="84"/>
        <v>#DIV/0!</v>
      </c>
      <c r="D99" s="83" t="e">
        <f t="shared" si="84"/>
        <v>#DIV/0!</v>
      </c>
      <c r="E99" s="83" t="e">
        <f t="shared" si="84"/>
        <v>#DIV/0!</v>
      </c>
      <c r="F99" s="83" t="e">
        <f t="shared" si="84"/>
        <v>#DIV/0!</v>
      </c>
      <c r="G99" s="83" t="e">
        <f t="shared" si="84"/>
        <v>#DIV/0!</v>
      </c>
      <c r="H99" s="83" t="e">
        <f t="shared" si="84"/>
        <v>#DIV/0!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>
        <f t="shared" si="84"/>
        <v>0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0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0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6">
    <mergeCell ref="A4:H4"/>
    <mergeCell ref="A8:H8"/>
    <mergeCell ref="J8:Q8"/>
    <mergeCell ref="R8:Y8"/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7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7"/>
  <dimension ref="A1:BC114"/>
  <sheetViews>
    <sheetView zoomScale="65" zoomScaleNormal="65" workbookViewId="0">
      <selection activeCell="U21" sqref="U21"/>
    </sheetView>
  </sheetViews>
  <sheetFormatPr defaultColWidth="9.109375" defaultRowHeight="13.2"/>
  <cols>
    <col min="1" max="1" width="14.5546875" style="203" customWidth="1"/>
    <col min="2" max="2" width="7.88671875" style="203" customWidth="1"/>
    <col min="3" max="4" width="9.109375" style="203"/>
    <col min="5" max="5" width="7.109375" style="203" customWidth="1"/>
    <col min="6" max="6" width="7.88671875" style="203" customWidth="1"/>
    <col min="7" max="7" width="7.5546875" style="203" customWidth="1"/>
    <col min="8" max="8" width="7.33203125" style="203" customWidth="1"/>
    <col min="9" max="9" width="5.6640625" style="203" customWidth="1"/>
    <col min="10" max="10" width="14.5546875" style="203" customWidth="1"/>
    <col min="11" max="11" width="7.5546875" style="203" customWidth="1"/>
    <col min="12" max="13" width="9.109375" style="203"/>
    <col min="14" max="14" width="7" style="203" customWidth="1"/>
    <col min="15" max="15" width="8.109375" style="203" customWidth="1"/>
    <col min="16" max="17" width="7.33203125" style="203" customWidth="1"/>
    <col min="18" max="18" width="14.6640625" style="203" customWidth="1"/>
    <col min="19" max="19" width="7.5546875" style="203" customWidth="1"/>
    <col min="20" max="20" width="7.6640625" style="203" customWidth="1"/>
    <col min="21" max="21" width="8.109375" style="203" customWidth="1"/>
    <col min="22" max="22" width="6.88671875" style="203" customWidth="1"/>
    <col min="23" max="23" width="7.109375" style="203" customWidth="1"/>
    <col min="24" max="24" width="8" style="203" customWidth="1"/>
    <col min="25" max="25" width="7.5546875" style="203" customWidth="1"/>
    <col min="26" max="26" width="8" style="203" customWidth="1"/>
    <col min="27" max="27" width="14.88671875" style="203" customWidth="1"/>
    <col min="28" max="33" width="8" style="203" customWidth="1"/>
    <col min="34" max="34" width="7.5546875" style="203" customWidth="1"/>
    <col min="35" max="35" width="6.33203125" style="203" customWidth="1"/>
    <col min="36" max="36" width="13.88671875" style="203" customWidth="1"/>
    <col min="37" max="16384" width="9.109375" style="203"/>
  </cols>
  <sheetData>
    <row r="1" spans="1:55" s="12" customFormat="1" ht="18.75" customHeight="1">
      <c r="A1" s="464" t="s">
        <v>55</v>
      </c>
      <c r="B1" s="464"/>
      <c r="C1" s="464"/>
      <c r="D1" s="464"/>
      <c r="E1" s="464"/>
      <c r="F1" s="464"/>
      <c r="G1" s="464"/>
      <c r="H1" s="464"/>
      <c r="I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33" customHeight="1">
      <c r="A2" s="221"/>
      <c r="B2" s="221"/>
      <c r="C2" s="221"/>
      <c r="D2" s="221"/>
      <c r="E2" s="465" t="s">
        <v>87</v>
      </c>
      <c r="F2" s="465"/>
      <c r="G2" s="465"/>
      <c r="H2" s="465"/>
      <c r="I2"/>
    </row>
    <row r="3" spans="1:55" s="37" customFormat="1" ht="31.5" customHeight="1">
      <c r="A3" s="466" t="s">
        <v>90</v>
      </c>
      <c r="B3" s="466"/>
      <c r="C3" s="466"/>
      <c r="D3" s="466"/>
      <c r="E3" s="466"/>
      <c r="F3" s="466"/>
      <c r="G3" s="466"/>
      <c r="H3" s="466"/>
      <c r="I3"/>
      <c r="J3" s="40"/>
      <c r="K3" s="12"/>
      <c r="L3" s="12"/>
      <c r="M3" s="12"/>
      <c r="N3" s="12"/>
      <c r="O3" s="12"/>
      <c r="P3" s="12"/>
      <c r="Q3" s="12"/>
    </row>
    <row r="4" spans="1:55" s="37" customFormat="1" ht="11.25" customHeight="1">
      <c r="A4" s="40"/>
      <c r="B4" s="40"/>
      <c r="C4" s="40"/>
      <c r="D4" s="40"/>
      <c r="E4" s="40"/>
      <c r="F4" s="40"/>
      <c r="G4" s="40"/>
      <c r="H4" s="40"/>
      <c r="I4"/>
      <c r="J4" s="40"/>
      <c r="K4" s="12"/>
      <c r="L4" s="12"/>
      <c r="M4" s="12"/>
      <c r="N4" s="12"/>
      <c r="O4" s="12"/>
      <c r="P4" s="12"/>
      <c r="Q4" s="12"/>
    </row>
    <row r="5" spans="1:55" customFormat="1" ht="17.25" customHeight="1" thickBo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54" t="s">
        <v>38</v>
      </c>
      <c r="AB5" s="54"/>
      <c r="AC5" s="54"/>
      <c r="AD5" s="54"/>
      <c r="AE5" s="54"/>
      <c r="AF5" s="54"/>
      <c r="AG5" s="54"/>
      <c r="AJ5" s="2" t="s">
        <v>59</v>
      </c>
      <c r="AO5" s="2"/>
    </row>
    <row r="6" spans="1:55" customFormat="1">
      <c r="A6" s="148" t="s">
        <v>0</v>
      </c>
      <c r="B6" s="101" t="s">
        <v>1</v>
      </c>
      <c r="C6" s="101" t="s">
        <v>2</v>
      </c>
      <c r="D6" s="101" t="s">
        <v>3</v>
      </c>
      <c r="E6" s="101" t="s">
        <v>4</v>
      </c>
      <c r="F6" s="101" t="s">
        <v>5</v>
      </c>
      <c r="G6" s="101" t="s">
        <v>6</v>
      </c>
      <c r="H6" s="102" t="s">
        <v>7</v>
      </c>
      <c r="J6" s="100" t="s">
        <v>0</v>
      </c>
      <c r="K6" s="101" t="s">
        <v>1</v>
      </c>
      <c r="L6" s="101" t="s">
        <v>2</v>
      </c>
      <c r="M6" s="101" t="s">
        <v>3</v>
      </c>
      <c r="N6" s="101" t="s">
        <v>4</v>
      </c>
      <c r="O6" s="101" t="s">
        <v>5</v>
      </c>
      <c r="P6" s="101" t="s">
        <v>6</v>
      </c>
      <c r="Q6" s="102" t="s">
        <v>7</v>
      </c>
      <c r="R6" s="100" t="s">
        <v>0</v>
      </c>
      <c r="S6" s="101" t="s">
        <v>1</v>
      </c>
      <c r="T6" s="101" t="s">
        <v>2</v>
      </c>
      <c r="U6" s="101" t="s">
        <v>3</v>
      </c>
      <c r="V6" s="101" t="s">
        <v>4</v>
      </c>
      <c r="W6" s="101" t="s">
        <v>5</v>
      </c>
      <c r="X6" s="101" t="s">
        <v>6</v>
      </c>
      <c r="Y6" s="102" t="s">
        <v>7</v>
      </c>
      <c r="Z6" s="109"/>
      <c r="AA6" s="100" t="s">
        <v>0</v>
      </c>
      <c r="AB6" s="101" t="s">
        <v>1</v>
      </c>
      <c r="AC6" s="101" t="s">
        <v>2</v>
      </c>
      <c r="AD6" s="101" t="s">
        <v>3</v>
      </c>
      <c r="AE6" s="101" t="s">
        <v>4</v>
      </c>
      <c r="AF6" s="101" t="s">
        <v>5</v>
      </c>
      <c r="AG6" s="101" t="s">
        <v>6</v>
      </c>
      <c r="AH6" s="102" t="s">
        <v>7</v>
      </c>
      <c r="AI6" s="109"/>
      <c r="AJ6" s="100" t="s">
        <v>0</v>
      </c>
      <c r="AK6" s="149" t="s">
        <v>1</v>
      </c>
      <c r="AL6" s="101" t="s">
        <v>2</v>
      </c>
      <c r="AM6" s="101" t="s">
        <v>3</v>
      </c>
      <c r="AN6" s="101" t="s">
        <v>4</v>
      </c>
      <c r="AO6" s="101" t="s">
        <v>5</v>
      </c>
      <c r="AP6" s="101" t="s">
        <v>6</v>
      </c>
      <c r="AQ6" s="10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customFormat="1">
      <c r="A7" s="150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104" t="s">
        <v>9</v>
      </c>
      <c r="J7" s="103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104" t="s">
        <v>9</v>
      </c>
      <c r="R7" s="103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104" t="s">
        <v>9</v>
      </c>
      <c r="Z7" s="109"/>
      <c r="AA7" s="103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104" t="s">
        <v>9</v>
      </c>
      <c r="AI7" s="109"/>
      <c r="AJ7" s="103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10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518" t="s">
        <v>17</v>
      </c>
      <c r="B8" s="468"/>
      <c r="C8" s="468"/>
      <c r="D8" s="468"/>
      <c r="E8" s="468"/>
      <c r="F8" s="468"/>
      <c r="G8" s="468"/>
      <c r="H8" s="519"/>
      <c r="I8"/>
      <c r="J8" s="518" t="s">
        <v>17</v>
      </c>
      <c r="K8" s="468"/>
      <c r="L8" s="468"/>
      <c r="M8" s="468"/>
      <c r="N8" s="468"/>
      <c r="O8" s="468"/>
      <c r="P8" s="468"/>
      <c r="Q8" s="519"/>
      <c r="R8" s="518" t="s">
        <v>17</v>
      </c>
      <c r="S8" s="468"/>
      <c r="T8" s="468"/>
      <c r="U8" s="468"/>
      <c r="V8" s="468"/>
      <c r="W8" s="468"/>
      <c r="X8" s="468"/>
      <c r="Y8" s="519"/>
      <c r="Z8" s="188"/>
      <c r="AA8" s="518" t="s">
        <v>17</v>
      </c>
      <c r="AB8" s="468"/>
      <c r="AC8" s="468"/>
      <c r="AD8" s="468"/>
      <c r="AE8" s="468"/>
      <c r="AF8" s="468"/>
      <c r="AG8" s="468"/>
      <c r="AH8" s="519"/>
      <c r="AI8" s="188"/>
      <c r="AJ8" s="518" t="s">
        <v>17</v>
      </c>
      <c r="AK8" s="468"/>
      <c r="AL8" s="468"/>
      <c r="AM8" s="468"/>
      <c r="AN8" s="468"/>
      <c r="AO8" s="468"/>
      <c r="AP8" s="468"/>
      <c r="AQ8" s="519"/>
    </row>
    <row r="9" spans="1:55" s="115" customFormat="1">
      <c r="A9" s="217" t="s">
        <v>18</v>
      </c>
      <c r="B9" s="42">
        <f>B13+B20</f>
        <v>970.69999999999982</v>
      </c>
      <c r="C9" s="33">
        <f t="shared" ref="C9:H10" si="0">C13+C20</f>
        <v>50860</v>
      </c>
      <c r="D9" s="33">
        <f t="shared" si="0"/>
        <v>44082</v>
      </c>
      <c r="E9" s="33">
        <f t="shared" si="0"/>
        <v>4072</v>
      </c>
      <c r="F9" s="33">
        <f t="shared" si="0"/>
        <v>10751</v>
      </c>
      <c r="G9" s="33">
        <f t="shared" si="0"/>
        <v>1892</v>
      </c>
      <c r="H9" s="218">
        <f t="shared" si="0"/>
        <v>27367</v>
      </c>
      <c r="I9"/>
      <c r="J9" s="217" t="s">
        <v>18</v>
      </c>
      <c r="K9" s="33">
        <f>K13+K20</f>
        <v>260.39999999999998</v>
      </c>
      <c r="L9" s="33">
        <f t="shared" ref="L9:Q10" si="1">L13+L20</f>
        <v>8953</v>
      </c>
      <c r="M9" s="33">
        <f t="shared" si="1"/>
        <v>7479</v>
      </c>
      <c r="N9" s="33">
        <f t="shared" si="1"/>
        <v>468</v>
      </c>
      <c r="O9" s="33">
        <f t="shared" si="1"/>
        <v>2406</v>
      </c>
      <c r="P9" s="33">
        <f t="shared" si="1"/>
        <v>408</v>
      </c>
      <c r="Q9" s="218">
        <f t="shared" si="1"/>
        <v>4197</v>
      </c>
      <c r="R9" s="217" t="s">
        <v>18</v>
      </c>
      <c r="S9" s="42">
        <f>S13+S20</f>
        <v>674.8</v>
      </c>
      <c r="T9" s="33">
        <f t="shared" ref="T9:Y10" si="2">T13+T20</f>
        <v>41012</v>
      </c>
      <c r="U9" s="33">
        <f t="shared" si="2"/>
        <v>35849</v>
      </c>
      <c r="V9" s="33">
        <f t="shared" si="2"/>
        <v>3590</v>
      </c>
      <c r="W9" s="33">
        <f t="shared" si="2"/>
        <v>8225</v>
      </c>
      <c r="X9" s="33">
        <f t="shared" si="2"/>
        <v>1464</v>
      </c>
      <c r="Y9" s="218">
        <f t="shared" si="2"/>
        <v>22570</v>
      </c>
      <c r="Z9" s="110"/>
      <c r="AA9" s="217" t="s">
        <v>18</v>
      </c>
      <c r="AB9" s="33">
        <f>AB13+AB20</f>
        <v>128.20000000000002</v>
      </c>
      <c r="AC9" s="33">
        <f t="shared" ref="AC9:AH10" si="3">AC13+AC20</f>
        <v>11264</v>
      </c>
      <c r="AD9" s="33">
        <f t="shared" si="3"/>
        <v>9763</v>
      </c>
      <c r="AE9" s="33">
        <f t="shared" si="3"/>
        <v>2604</v>
      </c>
      <c r="AF9" s="33">
        <f t="shared" si="3"/>
        <v>2440</v>
      </c>
      <c r="AG9" s="33">
        <f t="shared" si="3"/>
        <v>326</v>
      </c>
      <c r="AH9" s="218">
        <f t="shared" si="3"/>
        <v>4393</v>
      </c>
      <c r="AI9" s="110"/>
      <c r="AJ9" s="217" t="s">
        <v>18</v>
      </c>
      <c r="AK9" s="33">
        <f>AK13+AK20</f>
        <v>35.5</v>
      </c>
      <c r="AL9" s="33">
        <f t="shared" ref="AL9:AQ10" si="4">AL13+AL20</f>
        <v>895</v>
      </c>
      <c r="AM9" s="33">
        <f t="shared" si="4"/>
        <v>754</v>
      </c>
      <c r="AN9" s="33">
        <f t="shared" si="4"/>
        <v>14</v>
      </c>
      <c r="AO9" s="33">
        <f t="shared" si="4"/>
        <v>120</v>
      </c>
      <c r="AP9" s="33">
        <f t="shared" si="4"/>
        <v>20</v>
      </c>
      <c r="AQ9" s="218">
        <f t="shared" si="4"/>
        <v>600</v>
      </c>
    </row>
    <row r="10" spans="1:55" s="115" customFormat="1">
      <c r="A10" s="105" t="s">
        <v>19</v>
      </c>
      <c r="B10" s="179">
        <f>B14+B21</f>
        <v>1063</v>
      </c>
      <c r="C10" s="33">
        <f t="shared" si="0"/>
        <v>51060</v>
      </c>
      <c r="D10" s="33">
        <f t="shared" si="0"/>
        <v>43876</v>
      </c>
      <c r="E10" s="33">
        <f t="shared" si="0"/>
        <v>4536</v>
      </c>
      <c r="F10" s="33">
        <f t="shared" si="0"/>
        <v>3300</v>
      </c>
      <c r="G10" s="33">
        <f t="shared" si="0"/>
        <v>2272</v>
      </c>
      <c r="H10" s="218">
        <f t="shared" si="0"/>
        <v>33768</v>
      </c>
      <c r="I10"/>
      <c r="J10" s="105" t="s">
        <v>19</v>
      </c>
      <c r="K10" s="42">
        <f>K14+K21</f>
        <v>5.8999999999999995</v>
      </c>
      <c r="L10" s="33">
        <f t="shared" si="1"/>
        <v>370</v>
      </c>
      <c r="M10" s="33">
        <f t="shared" si="1"/>
        <v>320</v>
      </c>
      <c r="N10" s="33">
        <f t="shared" si="1"/>
        <v>25</v>
      </c>
      <c r="O10" s="33">
        <f t="shared" si="1"/>
        <v>44</v>
      </c>
      <c r="P10" s="33">
        <f t="shared" si="1"/>
        <v>15</v>
      </c>
      <c r="Q10" s="218">
        <f t="shared" si="1"/>
        <v>236</v>
      </c>
      <c r="R10" s="105" t="s">
        <v>19</v>
      </c>
      <c r="S10" s="42">
        <f>S14+S21</f>
        <v>1057.0999999999999</v>
      </c>
      <c r="T10" s="33">
        <f>T14+T21</f>
        <v>50690</v>
      </c>
      <c r="U10" s="33">
        <f t="shared" si="2"/>
        <v>43556</v>
      </c>
      <c r="V10" s="33">
        <f t="shared" si="2"/>
        <v>4511</v>
      </c>
      <c r="W10" s="33">
        <f t="shared" si="2"/>
        <v>3256</v>
      </c>
      <c r="X10" s="33">
        <f t="shared" si="2"/>
        <v>2257</v>
      </c>
      <c r="Y10" s="218">
        <f t="shared" si="2"/>
        <v>33532</v>
      </c>
      <c r="Z10" s="110"/>
      <c r="AA10" s="105" t="s">
        <v>19</v>
      </c>
      <c r="AB10" s="42">
        <f>AB14+AB21</f>
        <v>153.4</v>
      </c>
      <c r="AC10" s="33">
        <f t="shared" si="3"/>
        <v>12080</v>
      </c>
      <c r="AD10" s="33">
        <f t="shared" si="3"/>
        <v>9651</v>
      </c>
      <c r="AE10" s="33">
        <f t="shared" si="3"/>
        <v>1177</v>
      </c>
      <c r="AF10" s="33">
        <f t="shared" si="3"/>
        <v>2018</v>
      </c>
      <c r="AG10" s="33">
        <f t="shared" si="3"/>
        <v>597</v>
      </c>
      <c r="AH10" s="218">
        <f t="shared" si="3"/>
        <v>5859</v>
      </c>
      <c r="AI10" s="110"/>
      <c r="AJ10" s="105" t="s">
        <v>19</v>
      </c>
      <c r="AK10" s="33">
        <f>AK14+AK21</f>
        <v>0</v>
      </c>
      <c r="AL10" s="33">
        <f t="shared" si="4"/>
        <v>0</v>
      </c>
      <c r="AM10" s="33">
        <f t="shared" si="4"/>
        <v>0</v>
      </c>
      <c r="AN10" s="33">
        <f t="shared" si="4"/>
        <v>0</v>
      </c>
      <c r="AO10" s="33">
        <f t="shared" si="4"/>
        <v>0</v>
      </c>
      <c r="AP10" s="33">
        <f t="shared" si="4"/>
        <v>0</v>
      </c>
      <c r="AQ10" s="218">
        <f t="shared" si="4"/>
        <v>0</v>
      </c>
    </row>
    <row r="11" spans="1:55" s="115" customFormat="1">
      <c r="A11" s="217" t="s">
        <v>20</v>
      </c>
      <c r="B11" s="26">
        <f t="shared" ref="B11:H11" si="5">B10/B9*100</f>
        <v>109.50860203976514</v>
      </c>
      <c r="C11" s="26">
        <f t="shared" si="5"/>
        <v>100.39323633503736</v>
      </c>
      <c r="D11" s="26">
        <f t="shared" si="5"/>
        <v>99.532689079442861</v>
      </c>
      <c r="E11" s="26">
        <f t="shared" si="5"/>
        <v>111.39489194499018</v>
      </c>
      <c r="F11" s="26">
        <f t="shared" si="5"/>
        <v>30.694819086596599</v>
      </c>
      <c r="G11" s="26">
        <f t="shared" si="5"/>
        <v>120.08456659619451</v>
      </c>
      <c r="H11" s="96">
        <f t="shared" si="5"/>
        <v>123.3894836847298</v>
      </c>
      <c r="I11"/>
      <c r="J11" s="217" t="s">
        <v>20</v>
      </c>
      <c r="K11" s="26">
        <f t="shared" ref="K11:Q11" si="6">K10/K9*100</f>
        <v>2.2657450076804917</v>
      </c>
      <c r="L11" s="26">
        <f t="shared" si="6"/>
        <v>4.1326929520831008</v>
      </c>
      <c r="M11" s="26">
        <f t="shared" si="6"/>
        <v>4.2786468779248565</v>
      </c>
      <c r="N11" s="26">
        <f t="shared" si="6"/>
        <v>5.3418803418803416</v>
      </c>
      <c r="O11" s="26">
        <f t="shared" si="6"/>
        <v>1.8287614297589361</v>
      </c>
      <c r="P11" s="26">
        <f t="shared" si="6"/>
        <v>3.6764705882352944</v>
      </c>
      <c r="Q11" s="96">
        <f t="shared" si="6"/>
        <v>5.623064093400048</v>
      </c>
      <c r="R11" s="217" t="s">
        <v>20</v>
      </c>
      <c r="S11" s="26">
        <f t="shared" ref="S11:Y11" si="7">S10/S9*100</f>
        <v>156.65382335506817</v>
      </c>
      <c r="T11" s="26">
        <f t="shared" si="7"/>
        <v>123.59797132546572</v>
      </c>
      <c r="U11" s="26">
        <f t="shared" si="7"/>
        <v>121.49850762922256</v>
      </c>
      <c r="V11" s="26">
        <f t="shared" si="7"/>
        <v>125.65459610027855</v>
      </c>
      <c r="W11" s="26">
        <f t="shared" si="7"/>
        <v>39.586626139817625</v>
      </c>
      <c r="X11" s="26">
        <f t="shared" si="7"/>
        <v>154.16666666666669</v>
      </c>
      <c r="Y11" s="96">
        <f t="shared" si="7"/>
        <v>148.56889676561809</v>
      </c>
      <c r="Z11" s="113"/>
      <c r="AA11" s="217" t="s">
        <v>20</v>
      </c>
      <c r="AB11" s="26">
        <f t="shared" ref="AB11:AH11" si="8">AB10/AB9*100</f>
        <v>119.65678627145084</v>
      </c>
      <c r="AC11" s="26">
        <f t="shared" si="8"/>
        <v>107.24431818181819</v>
      </c>
      <c r="AD11" s="26">
        <f t="shared" si="8"/>
        <v>98.852811635767694</v>
      </c>
      <c r="AE11" s="26">
        <f t="shared" si="8"/>
        <v>45.199692780337941</v>
      </c>
      <c r="AF11" s="26">
        <f t="shared" si="8"/>
        <v>82.704918032786892</v>
      </c>
      <c r="AG11" s="26">
        <f t="shared" si="8"/>
        <v>183.12883435582822</v>
      </c>
      <c r="AH11" s="96">
        <f t="shared" si="8"/>
        <v>133.37127247894378</v>
      </c>
      <c r="AI11" s="113"/>
      <c r="AJ11" s="217" t="s">
        <v>20</v>
      </c>
      <c r="AK11" s="26">
        <f>AK10/AK9*100</f>
        <v>0</v>
      </c>
      <c r="AL11" s="26">
        <f>AL10/AL9*100</f>
        <v>0</v>
      </c>
      <c r="AM11" s="26">
        <f>AM10/AM9*100</f>
        <v>0</v>
      </c>
      <c r="AN11" s="26">
        <v>0</v>
      </c>
      <c r="AO11" s="26">
        <f>AO10/AO9*100</f>
        <v>0</v>
      </c>
      <c r="AP11" s="26">
        <f>AP10/AP9*100</f>
        <v>0</v>
      </c>
      <c r="AQ11" s="96">
        <f>AQ10/AQ9*100</f>
        <v>0</v>
      </c>
    </row>
    <row r="12" spans="1:55" ht="12.75" customHeight="1">
      <c r="A12" s="515" t="s">
        <v>11</v>
      </c>
      <c r="B12" s="470"/>
      <c r="C12" s="470"/>
      <c r="D12" s="470"/>
      <c r="E12" s="470"/>
      <c r="F12" s="470"/>
      <c r="G12" s="470"/>
      <c r="H12" s="517"/>
      <c r="I12"/>
      <c r="J12" s="515" t="s">
        <v>11</v>
      </c>
      <c r="K12" s="462"/>
      <c r="L12" s="462"/>
      <c r="M12" s="462"/>
      <c r="N12" s="462"/>
      <c r="O12" s="462"/>
      <c r="P12" s="462"/>
      <c r="Q12" s="516"/>
      <c r="R12" s="515" t="s">
        <v>11</v>
      </c>
      <c r="S12" s="462"/>
      <c r="T12" s="462"/>
      <c r="U12" s="462"/>
      <c r="V12" s="462"/>
      <c r="W12" s="462"/>
      <c r="X12" s="462"/>
      <c r="Y12" s="516"/>
      <c r="Z12" s="302"/>
      <c r="AA12" s="515" t="s">
        <v>11</v>
      </c>
      <c r="AB12" s="462"/>
      <c r="AC12" s="462"/>
      <c r="AD12" s="462"/>
      <c r="AE12" s="462"/>
      <c r="AF12" s="462"/>
      <c r="AG12" s="462"/>
      <c r="AH12" s="516"/>
      <c r="AI12" s="302"/>
      <c r="AJ12" s="515" t="s">
        <v>11</v>
      </c>
      <c r="AK12" s="462"/>
      <c r="AL12" s="462"/>
      <c r="AM12" s="462"/>
      <c r="AN12" s="462"/>
      <c r="AO12" s="462"/>
      <c r="AP12" s="462"/>
      <c r="AQ12" s="516"/>
    </row>
    <row r="13" spans="1:55">
      <c r="A13" s="241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95">
        <f t="shared" si="9"/>
        <v>39</v>
      </c>
      <c r="I13"/>
      <c r="J13" s="241" t="s">
        <v>18</v>
      </c>
      <c r="K13" s="27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95">
        <v>37</v>
      </c>
      <c r="R13" s="241" t="s">
        <v>18</v>
      </c>
      <c r="S13" s="6"/>
      <c r="T13" s="6"/>
      <c r="U13" s="6">
        <f>V13+W13+X13+Y13</f>
        <v>0</v>
      </c>
      <c r="V13" s="6"/>
      <c r="W13" s="6"/>
      <c r="X13" s="6"/>
      <c r="Y13" s="76"/>
      <c r="Z13" s="1"/>
      <c r="AA13" s="241" t="s">
        <v>18</v>
      </c>
      <c r="AB13" s="6"/>
      <c r="AC13" s="6"/>
      <c r="AD13" s="6">
        <f>AE13+AF13+AG13+AH13</f>
        <v>0</v>
      </c>
      <c r="AE13" s="6"/>
      <c r="AF13" s="6"/>
      <c r="AG13" s="6"/>
      <c r="AH13" s="76"/>
      <c r="AI13" s="1"/>
      <c r="AJ13" s="241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95">
        <v>2</v>
      </c>
    </row>
    <row r="14" spans="1:55">
      <c r="A14" s="106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9"/>
        <v>0</v>
      </c>
      <c r="F14" s="6">
        <f t="shared" si="9"/>
        <v>0</v>
      </c>
      <c r="G14" s="6">
        <f t="shared" si="9"/>
        <v>0</v>
      </c>
      <c r="H14" s="95">
        <f t="shared" si="9"/>
        <v>0</v>
      </c>
      <c r="I14"/>
      <c r="J14" s="106" t="s">
        <v>19</v>
      </c>
      <c r="K14" s="27">
        <v>0</v>
      </c>
      <c r="L14" s="6">
        <v>0</v>
      </c>
      <c r="M14" s="6">
        <f>N14+O14+P14+Q14</f>
        <v>0</v>
      </c>
      <c r="N14" s="6">
        <v>0</v>
      </c>
      <c r="O14" s="93">
        <v>0</v>
      </c>
      <c r="P14" s="93">
        <v>0</v>
      </c>
      <c r="Q14" s="95">
        <v>0</v>
      </c>
      <c r="R14" s="106" t="s">
        <v>19</v>
      </c>
      <c r="S14" s="6"/>
      <c r="T14" s="6"/>
      <c r="U14" s="6">
        <f>V14+W14+X14+Y14</f>
        <v>0</v>
      </c>
      <c r="V14" s="6"/>
      <c r="W14" s="6"/>
      <c r="X14" s="6"/>
      <c r="Y14" s="76"/>
      <c r="Z14" s="1"/>
      <c r="AA14" s="106" t="s">
        <v>19</v>
      </c>
      <c r="AB14" s="6"/>
      <c r="AC14" s="6"/>
      <c r="AD14" s="6">
        <f>AE14+AF14+AG14+AH14</f>
        <v>0</v>
      </c>
      <c r="AE14" s="6"/>
      <c r="AF14" s="6"/>
      <c r="AG14" s="6"/>
      <c r="AH14" s="76"/>
      <c r="AI14" s="1"/>
      <c r="AJ14" s="106" t="s">
        <v>19</v>
      </c>
      <c r="AK14" s="6"/>
      <c r="AL14" s="6"/>
      <c r="AM14" s="6">
        <f>AN14+AO14+AP14+AQ14</f>
        <v>0</v>
      </c>
      <c r="AN14" s="6"/>
      <c r="AO14" s="6"/>
      <c r="AP14" s="6"/>
      <c r="AQ14" s="95"/>
    </row>
    <row r="15" spans="1:55">
      <c r="A15" s="241" t="s">
        <v>20</v>
      </c>
      <c r="B15" s="26">
        <f t="shared" ref="B15:H15" si="10">B14/B13*100</f>
        <v>0</v>
      </c>
      <c r="C15" s="26">
        <f t="shared" si="10"/>
        <v>0</v>
      </c>
      <c r="D15" s="26">
        <f>D14/D13*100</f>
        <v>0</v>
      </c>
      <c r="E15" s="26">
        <f t="shared" si="10"/>
        <v>0</v>
      </c>
      <c r="F15" s="26">
        <f t="shared" si="10"/>
        <v>0</v>
      </c>
      <c r="G15" s="26">
        <f t="shared" si="10"/>
        <v>0</v>
      </c>
      <c r="H15" s="96">
        <f t="shared" si="10"/>
        <v>0</v>
      </c>
      <c r="I15"/>
      <c r="J15" s="241" t="s">
        <v>20</v>
      </c>
      <c r="K15" s="26">
        <f t="shared" ref="K15:Q15" si="11">K14/K13*100</f>
        <v>0</v>
      </c>
      <c r="L15" s="26">
        <f t="shared" si="11"/>
        <v>0</v>
      </c>
      <c r="M15" s="26">
        <f t="shared" si="11"/>
        <v>0</v>
      </c>
      <c r="N15" s="26">
        <f t="shared" si="11"/>
        <v>0</v>
      </c>
      <c r="O15" s="177">
        <f t="shared" si="11"/>
        <v>0</v>
      </c>
      <c r="P15" s="177">
        <f t="shared" si="11"/>
        <v>0</v>
      </c>
      <c r="Q15" s="96">
        <f t="shared" si="11"/>
        <v>0</v>
      </c>
      <c r="R15" s="241" t="s">
        <v>20</v>
      </c>
      <c r="S15" s="26" t="e">
        <f t="shared" ref="S15:Y15" si="12">S14/S13*100</f>
        <v>#DIV/0!</v>
      </c>
      <c r="T15" s="26" t="e">
        <f t="shared" si="12"/>
        <v>#DIV/0!</v>
      </c>
      <c r="U15" s="26" t="e">
        <f t="shared" si="12"/>
        <v>#DIV/0!</v>
      </c>
      <c r="V15" s="26" t="e">
        <f t="shared" si="12"/>
        <v>#DIV/0!</v>
      </c>
      <c r="W15" s="26" t="e">
        <f t="shared" si="12"/>
        <v>#DIV/0!</v>
      </c>
      <c r="X15" s="26" t="e">
        <f t="shared" si="12"/>
        <v>#DIV/0!</v>
      </c>
      <c r="Y15" s="77" t="e">
        <f t="shared" si="12"/>
        <v>#DIV/0!</v>
      </c>
      <c r="Z15" s="113"/>
      <c r="AA15" s="241" t="s">
        <v>20</v>
      </c>
      <c r="AB15" s="26" t="e">
        <f t="shared" ref="AB15:AH15" si="13">AB14/AB13*100</f>
        <v>#DIV/0!</v>
      </c>
      <c r="AC15" s="26" t="e">
        <f t="shared" si="13"/>
        <v>#DIV/0!</v>
      </c>
      <c r="AD15" s="26" t="e">
        <f t="shared" si="13"/>
        <v>#DIV/0!</v>
      </c>
      <c r="AE15" s="26" t="e">
        <f t="shared" si="13"/>
        <v>#DIV/0!</v>
      </c>
      <c r="AF15" s="26" t="e">
        <f t="shared" si="13"/>
        <v>#DIV/0!</v>
      </c>
      <c r="AG15" s="26" t="e">
        <f t="shared" si="13"/>
        <v>#DIV/0!</v>
      </c>
      <c r="AH15" s="77" t="e">
        <f t="shared" si="13"/>
        <v>#DIV/0!</v>
      </c>
      <c r="AI15" s="113"/>
      <c r="AJ15" s="241" t="s">
        <v>20</v>
      </c>
      <c r="AK15" s="26">
        <f>AK14/AK13*100</f>
        <v>0</v>
      </c>
      <c r="AL15" s="26">
        <f>AL14/AL13*100</f>
        <v>0</v>
      </c>
      <c r="AM15" s="26">
        <f>AM14/AM13*100</f>
        <v>0</v>
      </c>
      <c r="AN15" s="26">
        <v>0</v>
      </c>
      <c r="AO15" s="26" t="e">
        <f>AO14/AO13*100</f>
        <v>#DIV/0!</v>
      </c>
      <c r="AP15" s="26" t="e">
        <f>AP14/AP13*100</f>
        <v>#DIV/0!</v>
      </c>
      <c r="AQ15" s="96">
        <f>AQ14/AQ13*100</f>
        <v>0</v>
      </c>
    </row>
    <row r="16" spans="1:55">
      <c r="A16" s="107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95">
        <f t="shared" si="15"/>
        <v>0</v>
      </c>
      <c r="I16"/>
      <c r="J16" s="107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95">
        <v>0</v>
      </c>
      <c r="R16" s="107" t="s">
        <v>13</v>
      </c>
      <c r="S16" s="6"/>
      <c r="T16" s="6"/>
      <c r="U16" s="6">
        <f>V16+W16+X16+Y16</f>
        <v>0</v>
      </c>
      <c r="V16" s="6"/>
      <c r="W16" s="6"/>
      <c r="X16" s="6"/>
      <c r="Y16" s="76"/>
      <c r="Z16" s="1"/>
      <c r="AA16" s="107" t="s">
        <v>13</v>
      </c>
      <c r="AB16" s="6"/>
      <c r="AC16" s="6"/>
      <c r="AD16" s="6">
        <f>AE16+AF16+AG16+AH16</f>
        <v>0</v>
      </c>
      <c r="AE16" s="6"/>
      <c r="AF16" s="6"/>
      <c r="AG16" s="6"/>
      <c r="AH16" s="76"/>
      <c r="AI16" s="1"/>
      <c r="AJ16" s="107" t="s">
        <v>13</v>
      </c>
      <c r="AK16" s="27">
        <v>0</v>
      </c>
      <c r="AL16" s="6"/>
      <c r="AM16" s="6">
        <f>AN16+AO16+AP16+AQ16</f>
        <v>0</v>
      </c>
      <c r="AN16" s="6"/>
      <c r="AO16" s="6"/>
      <c r="AP16" s="6"/>
      <c r="AQ16" s="95"/>
    </row>
    <row r="17" spans="1:43">
      <c r="A17" s="107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95">
        <f t="shared" si="15"/>
        <v>0</v>
      </c>
      <c r="I17"/>
      <c r="J17" s="107" t="s">
        <v>14</v>
      </c>
      <c r="K17" s="6"/>
      <c r="L17" s="6"/>
      <c r="M17" s="6">
        <f>N17+O17+P17+Q17</f>
        <v>0</v>
      </c>
      <c r="N17" s="6"/>
      <c r="O17" s="6"/>
      <c r="P17" s="6"/>
      <c r="Q17" s="76"/>
      <c r="R17" s="107" t="s">
        <v>14</v>
      </c>
      <c r="S17" s="6"/>
      <c r="T17" s="6"/>
      <c r="U17" s="6">
        <f>V17+W17+X17+Y17</f>
        <v>0</v>
      </c>
      <c r="V17" s="6"/>
      <c r="W17" s="6"/>
      <c r="X17" s="6"/>
      <c r="Y17" s="76"/>
      <c r="Z17" s="1"/>
      <c r="AA17" s="107" t="s">
        <v>14</v>
      </c>
      <c r="AB17" s="6"/>
      <c r="AC17" s="6"/>
      <c r="AD17" s="6">
        <f>AE17+AF17+AG17+AH17</f>
        <v>0</v>
      </c>
      <c r="AE17" s="6"/>
      <c r="AF17" s="6"/>
      <c r="AG17" s="6"/>
      <c r="AH17" s="76"/>
      <c r="AI17" s="1"/>
      <c r="AJ17" s="107" t="s">
        <v>14</v>
      </c>
      <c r="AK17" s="6"/>
      <c r="AL17" s="6"/>
      <c r="AM17" s="6">
        <f>AN17+AO17+AP17+AQ17</f>
        <v>0</v>
      </c>
      <c r="AN17" s="6"/>
      <c r="AO17" s="6"/>
      <c r="AP17" s="6"/>
      <c r="AQ17" s="95"/>
    </row>
    <row r="18" spans="1:43" customFormat="1">
      <c r="A18" s="107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95">
        <f t="shared" si="15"/>
        <v>0</v>
      </c>
      <c r="J18" s="107" t="s">
        <v>15</v>
      </c>
      <c r="K18" s="6"/>
      <c r="L18" s="6"/>
      <c r="M18" s="6">
        <f>N18+O18+P18+Q18</f>
        <v>0</v>
      </c>
      <c r="N18" s="6"/>
      <c r="O18" s="6"/>
      <c r="P18" s="6"/>
      <c r="Q18" s="76"/>
      <c r="R18" s="107" t="s">
        <v>15</v>
      </c>
      <c r="S18" s="6"/>
      <c r="T18" s="6"/>
      <c r="U18" s="6">
        <f>V18+W18+X18+Y18</f>
        <v>0</v>
      </c>
      <c r="V18" s="6"/>
      <c r="W18" s="6"/>
      <c r="X18" s="6"/>
      <c r="Y18" s="76"/>
      <c r="Z18" s="1"/>
      <c r="AA18" s="107" t="s">
        <v>15</v>
      </c>
      <c r="AB18" s="6"/>
      <c r="AC18" s="6"/>
      <c r="AD18" s="6">
        <f>AE18+AF18+AG18+AH18</f>
        <v>0</v>
      </c>
      <c r="AE18" s="6"/>
      <c r="AF18" s="6"/>
      <c r="AG18" s="6"/>
      <c r="AH18" s="76"/>
      <c r="AI18" s="1"/>
      <c r="AJ18" s="107" t="s">
        <v>15</v>
      </c>
      <c r="AK18" s="6"/>
      <c r="AL18" s="6"/>
      <c r="AM18" s="6">
        <f>AN18+AO18+AP18+AQ18</f>
        <v>0</v>
      </c>
      <c r="AN18" s="6"/>
      <c r="AO18" s="6"/>
      <c r="AP18" s="6"/>
      <c r="AQ18" s="95"/>
    </row>
    <row r="19" spans="1:43" customFormat="1" ht="12.75" customHeight="1">
      <c r="A19" s="515" t="s">
        <v>16</v>
      </c>
      <c r="B19" s="470"/>
      <c r="C19" s="470"/>
      <c r="D19" s="470"/>
      <c r="E19" s="470"/>
      <c r="F19" s="470"/>
      <c r="G19" s="470"/>
      <c r="H19" s="517"/>
      <c r="J19" s="515" t="s">
        <v>16</v>
      </c>
      <c r="K19" s="462"/>
      <c r="L19" s="462"/>
      <c r="M19" s="462"/>
      <c r="N19" s="462"/>
      <c r="O19" s="462"/>
      <c r="P19" s="462"/>
      <c r="Q19" s="516"/>
      <c r="R19" s="515" t="s">
        <v>16</v>
      </c>
      <c r="S19" s="462"/>
      <c r="T19" s="462"/>
      <c r="U19" s="462"/>
      <c r="V19" s="462"/>
      <c r="W19" s="462"/>
      <c r="X19" s="462"/>
      <c r="Y19" s="516"/>
      <c r="Z19" s="302"/>
      <c r="AA19" s="515" t="s">
        <v>16</v>
      </c>
      <c r="AB19" s="462"/>
      <c r="AC19" s="462"/>
      <c r="AD19" s="462"/>
      <c r="AE19" s="462"/>
      <c r="AF19" s="462"/>
      <c r="AG19" s="462"/>
      <c r="AH19" s="516"/>
      <c r="AI19" s="302"/>
      <c r="AJ19" s="515" t="s">
        <v>16</v>
      </c>
      <c r="AK19" s="462"/>
      <c r="AL19" s="462"/>
      <c r="AM19" s="462"/>
      <c r="AN19" s="462"/>
      <c r="AO19" s="462"/>
      <c r="AP19" s="462"/>
      <c r="AQ19" s="516"/>
    </row>
    <row r="20" spans="1:43" customFormat="1">
      <c r="A20" s="241" t="s">
        <v>18</v>
      </c>
      <c r="B20" s="6">
        <f>B23+B26+B29+B32+B35+B38</f>
        <v>969.19999999999982</v>
      </c>
      <c r="C20" s="6">
        <f t="shared" ref="C20:H21" si="16">C23+C26+C29+C32+C35+C38</f>
        <v>50785</v>
      </c>
      <c r="D20" s="6">
        <f t="shared" si="16"/>
        <v>44023</v>
      </c>
      <c r="E20" s="6">
        <f t="shared" si="16"/>
        <v>4070</v>
      </c>
      <c r="F20" s="6">
        <f t="shared" si="16"/>
        <v>10737</v>
      </c>
      <c r="G20" s="6">
        <f t="shared" si="16"/>
        <v>1888</v>
      </c>
      <c r="H20" s="95">
        <f t="shared" si="16"/>
        <v>27328</v>
      </c>
      <c r="J20" s="241" t="s">
        <v>18</v>
      </c>
      <c r="K20" s="6">
        <f>K23+K26+K29+K32+K35+K38</f>
        <v>259</v>
      </c>
      <c r="L20" s="6">
        <f t="shared" ref="L20:Q20" si="17">L23+L26+L29+L32+L35+L38</f>
        <v>8883</v>
      </c>
      <c r="M20" s="6">
        <f t="shared" si="17"/>
        <v>7422</v>
      </c>
      <c r="N20" s="98">
        <f t="shared" si="17"/>
        <v>466</v>
      </c>
      <c r="O20" s="98">
        <f t="shared" si="17"/>
        <v>2392</v>
      </c>
      <c r="P20" s="98">
        <f t="shared" si="17"/>
        <v>404</v>
      </c>
      <c r="Q20" s="95">
        <f t="shared" si="17"/>
        <v>4160</v>
      </c>
      <c r="R20" s="241" t="s">
        <v>18</v>
      </c>
      <c r="S20" s="6">
        <f t="shared" ref="S20:Y21" si="18">S23+S26+S29+S32+S35+S38</f>
        <v>674.8</v>
      </c>
      <c r="T20" s="6">
        <f t="shared" si="18"/>
        <v>41012</v>
      </c>
      <c r="U20" s="6">
        <f t="shared" si="18"/>
        <v>35849</v>
      </c>
      <c r="V20" s="6">
        <f t="shared" si="18"/>
        <v>3590</v>
      </c>
      <c r="W20" s="6">
        <f t="shared" si="18"/>
        <v>8225</v>
      </c>
      <c r="X20" s="6">
        <f t="shared" si="18"/>
        <v>1464</v>
      </c>
      <c r="Y20" s="95">
        <f t="shared" si="18"/>
        <v>22570</v>
      </c>
      <c r="Z20" s="1"/>
      <c r="AA20" s="241" t="s">
        <v>18</v>
      </c>
      <c r="AB20" s="27">
        <f>AB23+AB26+AB29+AB32+AB35+AB38</f>
        <v>128.20000000000002</v>
      </c>
      <c r="AC20" s="6">
        <f t="shared" ref="AC20:AH21" si="19">AC23+AC26+AC29+AC32+AC35+AC38</f>
        <v>11264</v>
      </c>
      <c r="AD20" s="6">
        <f t="shared" si="19"/>
        <v>9763</v>
      </c>
      <c r="AE20" s="6">
        <f t="shared" si="19"/>
        <v>2604</v>
      </c>
      <c r="AF20" s="6">
        <f t="shared" si="19"/>
        <v>2440</v>
      </c>
      <c r="AG20" s="6">
        <f t="shared" si="19"/>
        <v>326</v>
      </c>
      <c r="AH20" s="95">
        <f t="shared" si="19"/>
        <v>4393</v>
      </c>
      <c r="AI20" s="1"/>
      <c r="AJ20" s="241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95">
        <f t="shared" si="20"/>
        <v>598</v>
      </c>
    </row>
    <row r="21" spans="1:43">
      <c r="A21" s="106" t="s">
        <v>19</v>
      </c>
      <c r="B21" s="6">
        <f>B24+B27+B30+B33+B36+B39</f>
        <v>1063</v>
      </c>
      <c r="C21" s="6">
        <f t="shared" si="16"/>
        <v>51060</v>
      </c>
      <c r="D21" s="6">
        <f t="shared" si="16"/>
        <v>43876</v>
      </c>
      <c r="E21" s="6">
        <f t="shared" si="16"/>
        <v>4536</v>
      </c>
      <c r="F21" s="6">
        <f t="shared" si="16"/>
        <v>3300</v>
      </c>
      <c r="G21" s="6">
        <f t="shared" si="16"/>
        <v>2272</v>
      </c>
      <c r="H21" s="95">
        <f t="shared" si="16"/>
        <v>33768</v>
      </c>
      <c r="I21"/>
      <c r="J21" s="106" t="s">
        <v>19</v>
      </c>
      <c r="K21" s="27">
        <f>K27+K30+K36+K39</f>
        <v>5.8999999999999995</v>
      </c>
      <c r="L21" s="26">
        <f>L27+L30+L36+L39</f>
        <v>370</v>
      </c>
      <c r="M21" s="6">
        <f>M30+M36+M39+M27</f>
        <v>320</v>
      </c>
      <c r="N21" s="98">
        <f>N30+N36+N39+N27</f>
        <v>25</v>
      </c>
      <c r="O21" s="98">
        <f>O30+O36+O39+O27</f>
        <v>44</v>
      </c>
      <c r="P21" s="98">
        <f>P30+P36+P39+P27</f>
        <v>15</v>
      </c>
      <c r="Q21" s="95">
        <f>Q30+Q36+Q39+Q27</f>
        <v>236</v>
      </c>
      <c r="R21" s="106" t="s">
        <v>19</v>
      </c>
      <c r="S21" s="27">
        <f>S24+S27+S30+S33+S36+S39</f>
        <v>1057.0999999999999</v>
      </c>
      <c r="T21" s="6">
        <f>T24+T27+T30+T33+T36+T39</f>
        <v>50690</v>
      </c>
      <c r="U21" s="6">
        <f>U24+U27+U30+U33+U36+U39</f>
        <v>43556</v>
      </c>
      <c r="V21" s="6">
        <f t="shared" si="18"/>
        <v>4511</v>
      </c>
      <c r="W21" s="6">
        <f t="shared" si="18"/>
        <v>3256</v>
      </c>
      <c r="X21" s="6">
        <f t="shared" si="18"/>
        <v>2257</v>
      </c>
      <c r="Y21" s="95">
        <f t="shared" si="18"/>
        <v>33532</v>
      </c>
      <c r="Z21" s="1"/>
      <c r="AA21" s="106" t="s">
        <v>19</v>
      </c>
      <c r="AB21" s="27">
        <f>AB24+AB27+AB30+AB33+AB36+AB39</f>
        <v>153.4</v>
      </c>
      <c r="AC21" s="99">
        <f t="shared" si="19"/>
        <v>12080</v>
      </c>
      <c r="AD21" s="99">
        <f t="shared" si="19"/>
        <v>9651</v>
      </c>
      <c r="AE21" s="99">
        <f t="shared" si="19"/>
        <v>1177</v>
      </c>
      <c r="AF21" s="99">
        <f t="shared" si="19"/>
        <v>2018</v>
      </c>
      <c r="AG21" s="99">
        <f t="shared" si="19"/>
        <v>597</v>
      </c>
      <c r="AH21" s="99">
        <f t="shared" si="19"/>
        <v>5859</v>
      </c>
      <c r="AI21" s="1"/>
      <c r="AJ21" s="106" t="s">
        <v>19</v>
      </c>
      <c r="AK21" s="6">
        <f>AK24+AK27+AK30+AK33+AK36+AK39</f>
        <v>0</v>
      </c>
      <c r="AL21" s="6">
        <f t="shared" si="20"/>
        <v>0</v>
      </c>
      <c r="AM21" s="6">
        <f t="shared" si="20"/>
        <v>0</v>
      </c>
      <c r="AN21" s="6">
        <f t="shared" si="20"/>
        <v>0</v>
      </c>
      <c r="AO21" s="6">
        <f t="shared" si="20"/>
        <v>0</v>
      </c>
      <c r="AP21" s="6">
        <f t="shared" si="20"/>
        <v>0</v>
      </c>
      <c r="AQ21" s="95">
        <f t="shared" si="20"/>
        <v>0</v>
      </c>
    </row>
    <row r="22" spans="1:43" customFormat="1">
      <c r="A22" s="241" t="s">
        <v>20</v>
      </c>
      <c r="B22" s="26">
        <f t="shared" ref="B22:H22" si="21">B21/B20*100</f>
        <v>109.67808501857203</v>
      </c>
      <c r="C22" s="26">
        <f t="shared" si="21"/>
        <v>100.54149847395885</v>
      </c>
      <c r="D22" s="26">
        <f t="shared" si="21"/>
        <v>99.666083638098272</v>
      </c>
      <c r="E22" s="26">
        <f t="shared" si="21"/>
        <v>111.44963144963145</v>
      </c>
      <c r="F22" s="26">
        <f t="shared" si="21"/>
        <v>30.734842134674491</v>
      </c>
      <c r="G22" s="26">
        <f t="shared" si="21"/>
        <v>120.33898305084745</v>
      </c>
      <c r="H22" s="96">
        <f t="shared" si="21"/>
        <v>123.5655737704918</v>
      </c>
      <c r="J22" s="241" t="s">
        <v>20</v>
      </c>
      <c r="K22" s="26">
        <f t="shared" ref="K22:Q22" si="22">K21/K20*100</f>
        <v>2.2779922779922779</v>
      </c>
      <c r="L22" s="26">
        <f t="shared" si="22"/>
        <v>4.1652594844084208</v>
      </c>
      <c r="M22" s="26">
        <f t="shared" si="22"/>
        <v>4.3115063325249263</v>
      </c>
      <c r="N22" s="99">
        <f t="shared" si="22"/>
        <v>5.3648068669527902</v>
      </c>
      <c r="O22" s="99">
        <f t="shared" si="22"/>
        <v>1.8394648829431439</v>
      </c>
      <c r="P22" s="99">
        <f t="shared" si="22"/>
        <v>3.7128712871287126</v>
      </c>
      <c r="Q22" s="96">
        <f t="shared" si="22"/>
        <v>5.6730769230769234</v>
      </c>
      <c r="R22" s="241" t="s">
        <v>20</v>
      </c>
      <c r="S22" s="26">
        <f t="shared" ref="S22:Y22" si="23">S21/S20*100</f>
        <v>156.65382335506817</v>
      </c>
      <c r="T22" s="26">
        <f t="shared" si="23"/>
        <v>123.59797132546572</v>
      </c>
      <c r="U22" s="26">
        <f t="shared" si="23"/>
        <v>121.49850762922256</v>
      </c>
      <c r="V22" s="26">
        <f t="shared" si="23"/>
        <v>125.65459610027855</v>
      </c>
      <c r="W22" s="26">
        <f t="shared" si="23"/>
        <v>39.586626139817625</v>
      </c>
      <c r="X22" s="26">
        <f t="shared" si="23"/>
        <v>154.16666666666669</v>
      </c>
      <c r="Y22" s="96">
        <f t="shared" si="23"/>
        <v>148.56889676561809</v>
      </c>
      <c r="Z22" s="113"/>
      <c r="AA22" s="241" t="s">
        <v>20</v>
      </c>
      <c r="AB22" s="26">
        <f t="shared" ref="AB22:AH22" si="24">AB21/AB20*100</f>
        <v>119.65678627145084</v>
      </c>
      <c r="AC22" s="26">
        <f t="shared" si="24"/>
        <v>107.24431818181819</v>
      </c>
      <c r="AD22" s="26">
        <f t="shared" si="24"/>
        <v>98.852811635767694</v>
      </c>
      <c r="AE22" s="26">
        <f t="shared" si="24"/>
        <v>45.199692780337941</v>
      </c>
      <c r="AF22" s="26">
        <f t="shared" si="24"/>
        <v>82.704918032786892</v>
      </c>
      <c r="AG22" s="26">
        <f t="shared" si="24"/>
        <v>183.12883435582822</v>
      </c>
      <c r="AH22" s="96">
        <f t="shared" si="24"/>
        <v>133.37127247894378</v>
      </c>
      <c r="AI22" s="113"/>
      <c r="AJ22" s="241" t="s">
        <v>20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>
        <f>AO21/AO20*100</f>
        <v>0</v>
      </c>
      <c r="AP22" s="26">
        <f>AP21/AP20*100</f>
        <v>0</v>
      </c>
      <c r="AQ22" s="96">
        <f>AQ21/AQ20*100</f>
        <v>0</v>
      </c>
    </row>
    <row r="23" spans="1:43" customFormat="1">
      <c r="A23" s="107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95">
        <f t="shared" si="25"/>
        <v>0</v>
      </c>
      <c r="J23" s="107" t="s">
        <v>21</v>
      </c>
      <c r="K23" s="6"/>
      <c r="L23" s="6"/>
      <c r="M23" s="6">
        <f>N23+O23+P23+Q23</f>
        <v>0</v>
      </c>
      <c r="N23" s="6"/>
      <c r="O23" s="6"/>
      <c r="P23" s="6"/>
      <c r="Q23" s="95"/>
      <c r="R23" s="107" t="s">
        <v>21</v>
      </c>
      <c r="S23" s="6"/>
      <c r="T23" s="6"/>
      <c r="U23" s="6">
        <f>V23+W23+X23+Y23</f>
        <v>0</v>
      </c>
      <c r="V23" s="6"/>
      <c r="W23" s="6"/>
      <c r="X23" s="6"/>
      <c r="Y23" s="76"/>
      <c r="Z23" s="1"/>
      <c r="AA23" s="107" t="s">
        <v>21</v>
      </c>
      <c r="AB23" s="6"/>
      <c r="AC23" s="6"/>
      <c r="AD23" s="6">
        <f>AE23+AF23+AG23+AH23</f>
        <v>0</v>
      </c>
      <c r="AE23" s="6"/>
      <c r="AF23" s="6"/>
      <c r="AG23" s="6"/>
      <c r="AH23" s="95"/>
      <c r="AI23" s="1"/>
      <c r="AJ23" s="107" t="s">
        <v>21</v>
      </c>
      <c r="AK23" s="6"/>
      <c r="AL23" s="6"/>
      <c r="AM23" s="6">
        <f>AN23+AO23+AP23+AQ23</f>
        <v>0</v>
      </c>
      <c r="AN23" s="6"/>
      <c r="AO23" s="6"/>
      <c r="AP23" s="6"/>
      <c r="AQ23" s="95"/>
    </row>
    <row r="24" spans="1:43" customFormat="1">
      <c r="A24" s="107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95">
        <f t="shared" si="25"/>
        <v>0</v>
      </c>
      <c r="J24" s="107" t="s">
        <v>22</v>
      </c>
      <c r="K24" s="6"/>
      <c r="L24" s="6"/>
      <c r="M24" s="6">
        <f>N24+O24+P24+Q24</f>
        <v>0</v>
      </c>
      <c r="N24" s="6"/>
      <c r="O24" s="6"/>
      <c r="P24" s="6"/>
      <c r="Q24" s="95"/>
      <c r="R24" s="107" t="s">
        <v>22</v>
      </c>
      <c r="S24" s="6"/>
      <c r="T24" s="6"/>
      <c r="U24" s="6">
        <f>V24+W24+X24+Y24</f>
        <v>0</v>
      </c>
      <c r="V24" s="6"/>
      <c r="W24" s="6"/>
      <c r="X24" s="6"/>
      <c r="Y24" s="76"/>
      <c r="Z24" s="1"/>
      <c r="AA24" s="107" t="s">
        <v>22</v>
      </c>
      <c r="AB24" s="6"/>
      <c r="AC24" s="6"/>
      <c r="AD24" s="6">
        <f>AE24+AF24+AG24+AH24</f>
        <v>0</v>
      </c>
      <c r="AE24" s="6"/>
      <c r="AF24" s="6"/>
      <c r="AG24" s="6"/>
      <c r="AH24" s="95"/>
      <c r="AI24" s="1"/>
      <c r="AJ24" s="107" t="s">
        <v>22</v>
      </c>
      <c r="AK24" s="6"/>
      <c r="AL24" s="6"/>
      <c r="AM24" s="6">
        <f>AN24+AO24+AP24+AQ24</f>
        <v>0</v>
      </c>
      <c r="AN24" s="6"/>
      <c r="AO24" s="6"/>
      <c r="AP24" s="6"/>
      <c r="AQ24" s="95"/>
    </row>
    <row r="25" spans="1:43" customFormat="1">
      <c r="A25" s="107" t="s">
        <v>12</v>
      </c>
      <c r="B25" s="26" t="e">
        <f t="shared" ref="B25:H25" si="26">B24/B23*100</f>
        <v>#DIV/0!</v>
      </c>
      <c r="C25" s="26" t="e">
        <f t="shared" si="26"/>
        <v>#DIV/0!</v>
      </c>
      <c r="D25" s="26" t="e">
        <f t="shared" si="26"/>
        <v>#DIV/0!</v>
      </c>
      <c r="E25" s="26" t="e">
        <f t="shared" si="26"/>
        <v>#DIV/0!</v>
      </c>
      <c r="F25" s="26" t="e">
        <f t="shared" si="26"/>
        <v>#DIV/0!</v>
      </c>
      <c r="G25" s="26" t="e">
        <f t="shared" si="26"/>
        <v>#DIV/0!</v>
      </c>
      <c r="H25" s="96" t="e">
        <f t="shared" si="26"/>
        <v>#DIV/0!</v>
      </c>
      <c r="J25" s="107" t="s">
        <v>12</v>
      </c>
      <c r="K25" s="26" t="e">
        <f t="shared" ref="K25:Q25" si="27">K24/K23*100</f>
        <v>#DIV/0!</v>
      </c>
      <c r="L25" s="26" t="e">
        <f t="shared" si="27"/>
        <v>#DIV/0!</v>
      </c>
      <c r="M25" s="26" t="e">
        <f t="shared" si="27"/>
        <v>#DIV/0!</v>
      </c>
      <c r="N25" s="26" t="e">
        <f t="shared" si="27"/>
        <v>#DIV/0!</v>
      </c>
      <c r="O25" s="26" t="e">
        <f t="shared" si="27"/>
        <v>#DIV/0!</v>
      </c>
      <c r="P25" s="26" t="e">
        <f t="shared" si="27"/>
        <v>#DIV/0!</v>
      </c>
      <c r="Q25" s="96" t="e">
        <f t="shared" si="27"/>
        <v>#DIV/0!</v>
      </c>
      <c r="R25" s="107" t="s">
        <v>12</v>
      </c>
      <c r="S25" s="26" t="e">
        <f t="shared" ref="S25:Y25" si="28">S24/S23*100</f>
        <v>#DIV/0!</v>
      </c>
      <c r="T25" s="26" t="e">
        <f t="shared" si="28"/>
        <v>#DIV/0!</v>
      </c>
      <c r="U25" s="26" t="e">
        <f t="shared" si="28"/>
        <v>#DIV/0!</v>
      </c>
      <c r="V25" s="26" t="e">
        <f t="shared" si="28"/>
        <v>#DIV/0!</v>
      </c>
      <c r="W25" s="26" t="e">
        <f t="shared" si="28"/>
        <v>#DIV/0!</v>
      </c>
      <c r="X25" s="26" t="e">
        <f t="shared" si="28"/>
        <v>#DIV/0!</v>
      </c>
      <c r="Y25" s="96" t="e">
        <f t="shared" si="28"/>
        <v>#DIV/0!</v>
      </c>
      <c r="Z25" s="113"/>
      <c r="AA25" s="107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96">
        <v>0</v>
      </c>
      <c r="AI25" s="113"/>
      <c r="AJ25" s="107" t="s">
        <v>12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96" t="e">
        <f>AQ24/AQ23*100</f>
        <v>#DIV/0!</v>
      </c>
    </row>
    <row r="26" spans="1:43" customFormat="1">
      <c r="A26" s="107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95">
        <f t="shared" si="29"/>
        <v>1814</v>
      </c>
      <c r="J26" s="107" t="s">
        <v>23</v>
      </c>
      <c r="K26" s="27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95">
        <v>809</v>
      </c>
      <c r="R26" s="107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95">
        <v>953</v>
      </c>
      <c r="Z26" s="1"/>
      <c r="AA26" s="107" t="s">
        <v>23</v>
      </c>
      <c r="AB26" s="27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95">
        <v>54</v>
      </c>
      <c r="AI26" s="1"/>
      <c r="AJ26" s="107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95">
        <v>52</v>
      </c>
    </row>
    <row r="27" spans="1:43" customFormat="1">
      <c r="A27" s="107" t="s">
        <v>24</v>
      </c>
      <c r="B27" s="6">
        <f>K27+S27+AK27</f>
        <v>97</v>
      </c>
      <c r="C27" s="6">
        <f>L27+T27+AL27</f>
        <v>2160</v>
      </c>
      <c r="D27" s="6">
        <f>E27+F27+G27+H27</f>
        <v>1734</v>
      </c>
      <c r="E27" s="6">
        <f t="shared" si="29"/>
        <v>125</v>
      </c>
      <c r="F27" s="6">
        <f t="shared" si="29"/>
        <v>39</v>
      </c>
      <c r="G27" s="6">
        <f t="shared" si="29"/>
        <v>76</v>
      </c>
      <c r="H27" s="95">
        <f t="shared" si="29"/>
        <v>1494</v>
      </c>
      <c r="J27" s="107" t="s">
        <v>24</v>
      </c>
      <c r="K27" s="27">
        <v>4.0999999999999996</v>
      </c>
      <c r="L27" s="6">
        <v>190</v>
      </c>
      <c r="M27" s="6">
        <f>N27+O27+P27+Q27</f>
        <v>166</v>
      </c>
      <c r="N27" s="6">
        <v>22</v>
      </c>
      <c r="O27" s="6">
        <v>21</v>
      </c>
      <c r="P27" s="6">
        <v>7</v>
      </c>
      <c r="Q27" s="95">
        <v>116</v>
      </c>
      <c r="R27" s="107" t="s">
        <v>24</v>
      </c>
      <c r="S27" s="27">
        <v>92.9</v>
      </c>
      <c r="T27" s="6">
        <v>1970</v>
      </c>
      <c r="U27" s="6">
        <f>V27+W27+X27+Y27</f>
        <v>1568</v>
      </c>
      <c r="V27" s="6">
        <v>103</v>
      </c>
      <c r="W27" s="6">
        <v>18</v>
      </c>
      <c r="X27" s="6">
        <v>69</v>
      </c>
      <c r="Y27" s="95">
        <v>1378</v>
      </c>
      <c r="Z27" s="1"/>
      <c r="AA27" s="107" t="s">
        <v>24</v>
      </c>
      <c r="AB27" s="6">
        <v>0</v>
      </c>
      <c r="AC27" s="6">
        <v>10</v>
      </c>
      <c r="AD27" s="6">
        <f>AE27+AF27+AG27+AH27</f>
        <v>1</v>
      </c>
      <c r="AE27" s="6"/>
      <c r="AF27" s="6"/>
      <c r="AG27" s="6"/>
      <c r="AH27" s="95">
        <v>1</v>
      </c>
      <c r="AI27" s="1"/>
      <c r="AJ27" s="107" t="s">
        <v>24</v>
      </c>
      <c r="AK27" s="27"/>
      <c r="AL27" s="6">
        <v>0</v>
      </c>
      <c r="AM27" s="6">
        <f>AN27+AO27+AP27+AQ27</f>
        <v>0</v>
      </c>
      <c r="AN27" s="6">
        <v>0</v>
      </c>
      <c r="AO27" s="6">
        <v>0</v>
      </c>
      <c r="AP27" s="6">
        <v>0</v>
      </c>
      <c r="AQ27" s="95">
        <v>0</v>
      </c>
    </row>
    <row r="28" spans="1:43" customFormat="1">
      <c r="A28" s="107" t="s">
        <v>12</v>
      </c>
      <c r="B28" s="26">
        <f t="shared" ref="B28:H28" si="30">B27/B26*100</f>
        <v>124.5186136071887</v>
      </c>
      <c r="C28" s="26">
        <f t="shared" si="30"/>
        <v>69.25296569413274</v>
      </c>
      <c r="D28" s="26">
        <f t="shared" si="30"/>
        <v>63.192419825072889</v>
      </c>
      <c r="E28" s="26">
        <f t="shared" si="30"/>
        <v>79.113924050632917</v>
      </c>
      <c r="F28" s="26">
        <f t="shared" si="30"/>
        <v>5.7777777777777777</v>
      </c>
      <c r="G28" s="26">
        <f t="shared" si="30"/>
        <v>78.350515463917532</v>
      </c>
      <c r="H28" s="96">
        <f t="shared" si="30"/>
        <v>82.35942668136714</v>
      </c>
      <c r="J28" s="107" t="s">
        <v>12</v>
      </c>
      <c r="K28" s="26">
        <f t="shared" ref="K28:Q28" si="31">K27/K26*100</f>
        <v>11.988304093567249</v>
      </c>
      <c r="L28" s="26">
        <f t="shared" si="31"/>
        <v>11.912225705329153</v>
      </c>
      <c r="M28" s="26">
        <f t="shared" si="31"/>
        <v>12.072727272727272</v>
      </c>
      <c r="N28" s="26">
        <f t="shared" si="31"/>
        <v>31.428571428571427</v>
      </c>
      <c r="O28" s="26">
        <f t="shared" si="31"/>
        <v>4.7404063205417613</v>
      </c>
      <c r="P28" s="26">
        <f t="shared" si="31"/>
        <v>13.20754716981132</v>
      </c>
      <c r="Q28" s="96">
        <f t="shared" si="31"/>
        <v>14.338689740420271</v>
      </c>
      <c r="R28" s="107" t="s">
        <v>12</v>
      </c>
      <c r="S28" s="26">
        <f t="shared" ref="S28:Y28" si="32">S27/S26*100</f>
        <v>231.09452736318411</v>
      </c>
      <c r="T28" s="26">
        <f t="shared" si="32"/>
        <v>135.48830811554333</v>
      </c>
      <c r="U28" s="26">
        <f t="shared" si="32"/>
        <v>119.78609625668449</v>
      </c>
      <c r="V28" s="26">
        <f t="shared" si="32"/>
        <v>117.04545454545455</v>
      </c>
      <c r="W28" s="26">
        <f t="shared" si="32"/>
        <v>8</v>
      </c>
      <c r="X28" s="26">
        <f t="shared" si="32"/>
        <v>160.46511627906978</v>
      </c>
      <c r="Y28" s="96">
        <f t="shared" si="32"/>
        <v>144.59601259181531</v>
      </c>
      <c r="Z28" s="113"/>
      <c r="AA28" s="107" t="s">
        <v>12</v>
      </c>
      <c r="AB28" s="177">
        <f>AB27/AB26*100</f>
        <v>0</v>
      </c>
      <c r="AC28" s="177">
        <f t="shared" ref="AC28:AH28" si="33">AC27/AC26*100</f>
        <v>10.989010989010989</v>
      </c>
      <c r="AD28" s="177">
        <f t="shared" si="33"/>
        <v>1.2195121951219512</v>
      </c>
      <c r="AE28" s="177">
        <f t="shared" si="33"/>
        <v>0</v>
      </c>
      <c r="AF28" s="177">
        <f t="shared" si="33"/>
        <v>0</v>
      </c>
      <c r="AG28" s="177">
        <f t="shared" si="33"/>
        <v>0</v>
      </c>
      <c r="AH28" s="383">
        <f t="shared" si="33"/>
        <v>1.8518518518518516</v>
      </c>
      <c r="AI28" s="113"/>
      <c r="AJ28" s="107" t="s">
        <v>12</v>
      </c>
      <c r="AK28" s="26">
        <f>AK27/AK26*100</f>
        <v>0</v>
      </c>
      <c r="AL28" s="26">
        <f>AL27/AL26*100</f>
        <v>0</v>
      </c>
      <c r="AM28" s="26">
        <f>AM27/AM26*100</f>
        <v>0</v>
      </c>
      <c r="AN28" s="26">
        <v>0</v>
      </c>
      <c r="AO28" s="26">
        <f>AO27/AO26*100</f>
        <v>0</v>
      </c>
      <c r="AP28" s="26">
        <f>AP27/AP26*100</f>
        <v>0</v>
      </c>
      <c r="AQ28" s="96">
        <f>AQ27/AQ26*100</f>
        <v>0</v>
      </c>
    </row>
    <row r="29" spans="1:43" customFormat="1">
      <c r="A29" s="107" t="s">
        <v>25</v>
      </c>
      <c r="B29" s="6">
        <f>K29+S29+AK29</f>
        <v>415.19999999999993</v>
      </c>
      <c r="C29" s="6">
        <f>L29+T29+AL29</f>
        <v>15295</v>
      </c>
      <c r="D29" s="6">
        <f>E29+F29+G29+H29</f>
        <v>13680</v>
      </c>
      <c r="E29" s="6">
        <f t="shared" ref="E29:H30" si="34">N29+V29+AN29</f>
        <v>688</v>
      </c>
      <c r="F29" s="6">
        <f t="shared" si="34"/>
        <v>2240</v>
      </c>
      <c r="G29" s="6">
        <f t="shared" si="34"/>
        <v>481</v>
      </c>
      <c r="H29" s="95">
        <f t="shared" si="34"/>
        <v>10271</v>
      </c>
      <c r="J29" s="107" t="s">
        <v>25</v>
      </c>
      <c r="K29" s="27">
        <v>67.599999999999994</v>
      </c>
      <c r="L29" s="6">
        <v>1471</v>
      </c>
      <c r="M29" s="6">
        <f>N29+O29+P29+Q29</f>
        <v>1252</v>
      </c>
      <c r="N29" s="6">
        <v>28</v>
      </c>
      <c r="O29" s="6">
        <v>193</v>
      </c>
      <c r="P29" s="6">
        <v>40</v>
      </c>
      <c r="Q29" s="95">
        <v>991</v>
      </c>
      <c r="R29" s="107" t="s">
        <v>25</v>
      </c>
      <c r="S29" s="6">
        <v>333.2</v>
      </c>
      <c r="T29" s="6">
        <v>13510</v>
      </c>
      <c r="U29" s="6">
        <f>V29+W29+X29+Y29</f>
        <v>12156</v>
      </c>
      <c r="V29" s="6">
        <v>660</v>
      </c>
      <c r="W29" s="6">
        <v>2014</v>
      </c>
      <c r="X29" s="6">
        <v>434</v>
      </c>
      <c r="Y29" s="95">
        <v>9048</v>
      </c>
      <c r="Z29" s="1"/>
      <c r="AA29" s="107" t="s">
        <v>25</v>
      </c>
      <c r="AB29" s="27">
        <v>10.5</v>
      </c>
      <c r="AC29" s="6">
        <v>589</v>
      </c>
      <c r="AD29" s="6">
        <f>AE29+AF29+AG29+AH29</f>
        <v>531</v>
      </c>
      <c r="AE29" s="6">
        <v>23</v>
      </c>
      <c r="AF29" s="6">
        <v>89</v>
      </c>
      <c r="AG29" s="6">
        <v>58</v>
      </c>
      <c r="AH29" s="95">
        <v>361</v>
      </c>
      <c r="AI29" s="1"/>
      <c r="AJ29" s="107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95">
        <v>232</v>
      </c>
    </row>
    <row r="30" spans="1:43" customFormat="1">
      <c r="A30" s="107" t="s">
        <v>26</v>
      </c>
      <c r="B30" s="6">
        <f>K30+S30+AK30</f>
        <v>607.20000000000005</v>
      </c>
      <c r="C30" s="6">
        <f>L30+T30+AL30</f>
        <v>25190</v>
      </c>
      <c r="D30" s="6">
        <f>E30+F30+G30+H30</f>
        <v>22715</v>
      </c>
      <c r="E30" s="6">
        <f t="shared" si="34"/>
        <v>2601</v>
      </c>
      <c r="F30" s="6">
        <f t="shared" si="34"/>
        <v>533</v>
      </c>
      <c r="G30" s="6">
        <f t="shared" si="34"/>
        <v>1007</v>
      </c>
      <c r="H30" s="95">
        <f t="shared" si="34"/>
        <v>18574</v>
      </c>
      <c r="J30" s="107" t="s">
        <v>26</v>
      </c>
      <c r="K30" s="27"/>
      <c r="L30" s="6"/>
      <c r="M30" s="6">
        <f>Q30+P30+O30+N30</f>
        <v>0</v>
      </c>
      <c r="N30" s="6"/>
      <c r="O30" s="6"/>
      <c r="P30" s="6"/>
      <c r="Q30" s="95"/>
      <c r="R30" s="107" t="s">
        <v>26</v>
      </c>
      <c r="S30" s="27">
        <v>607.20000000000005</v>
      </c>
      <c r="T30" s="6">
        <v>25190</v>
      </c>
      <c r="U30" s="6">
        <f>V30+W30+X30+Y30</f>
        <v>22715</v>
      </c>
      <c r="V30" s="6">
        <v>2601</v>
      </c>
      <c r="W30" s="6">
        <v>533</v>
      </c>
      <c r="X30" s="6">
        <v>1007</v>
      </c>
      <c r="Y30" s="95">
        <v>18574</v>
      </c>
      <c r="Z30" s="1"/>
      <c r="AA30" s="107" t="s">
        <v>26</v>
      </c>
      <c r="AB30" s="27">
        <v>21</v>
      </c>
      <c r="AC30" s="6">
        <v>1190</v>
      </c>
      <c r="AD30" s="6">
        <f>AE30+AF30+AG30+AH30</f>
        <v>1014</v>
      </c>
      <c r="AE30" s="6">
        <v>68</v>
      </c>
      <c r="AF30" s="6">
        <v>140</v>
      </c>
      <c r="AG30" s="6">
        <v>60</v>
      </c>
      <c r="AH30" s="95">
        <v>746</v>
      </c>
      <c r="AI30" s="1"/>
      <c r="AJ30" s="107" t="s">
        <v>26</v>
      </c>
      <c r="AK30" s="6"/>
      <c r="AL30" s="6"/>
      <c r="AM30" s="6">
        <f>AN30+AO30+AP30+AQ30</f>
        <v>0</v>
      </c>
      <c r="AN30" s="6"/>
      <c r="AO30" s="6"/>
      <c r="AP30" s="6"/>
      <c r="AQ30" s="95"/>
    </row>
    <row r="31" spans="1:43" customFormat="1">
      <c r="A31" s="107" t="s">
        <v>12</v>
      </c>
      <c r="B31" s="26">
        <f t="shared" ref="B31:H31" si="35">B30/B29*100</f>
        <v>146.24277456647403</v>
      </c>
      <c r="C31" s="26">
        <f t="shared" si="35"/>
        <v>164.69434455704479</v>
      </c>
      <c r="D31" s="26">
        <f t="shared" si="35"/>
        <v>166.04532163742689</v>
      </c>
      <c r="E31" s="26">
        <f t="shared" si="35"/>
        <v>378.05232558139539</v>
      </c>
      <c r="F31" s="26">
        <f t="shared" si="35"/>
        <v>23.794642857142854</v>
      </c>
      <c r="G31" s="26">
        <f t="shared" si="35"/>
        <v>209.35550935550938</v>
      </c>
      <c r="H31" s="96">
        <f t="shared" si="35"/>
        <v>180.83925615811509</v>
      </c>
      <c r="J31" s="107" t="s">
        <v>12</v>
      </c>
      <c r="K31" s="26">
        <f t="shared" ref="K31:Q31" si="36">K30/K29*100</f>
        <v>0</v>
      </c>
      <c r="L31" s="26">
        <f t="shared" si="36"/>
        <v>0</v>
      </c>
      <c r="M31" s="26">
        <f t="shared" si="36"/>
        <v>0</v>
      </c>
      <c r="N31" s="26">
        <f t="shared" si="36"/>
        <v>0</v>
      </c>
      <c r="O31" s="26">
        <f t="shared" si="36"/>
        <v>0</v>
      </c>
      <c r="P31" s="26">
        <f t="shared" si="36"/>
        <v>0</v>
      </c>
      <c r="Q31" s="96">
        <f t="shared" si="36"/>
        <v>0</v>
      </c>
      <c r="R31" s="107" t="s">
        <v>12</v>
      </c>
      <c r="S31" s="26">
        <f t="shared" ref="S31:Y31" si="37">S30/S29*100</f>
        <v>182.23289315726291</v>
      </c>
      <c r="T31" s="26">
        <f t="shared" si="37"/>
        <v>186.45447816432272</v>
      </c>
      <c r="U31" s="26">
        <f t="shared" si="37"/>
        <v>186.86245475485356</v>
      </c>
      <c r="V31" s="26">
        <f t="shared" si="37"/>
        <v>394.09090909090907</v>
      </c>
      <c r="W31" s="26">
        <f t="shared" si="37"/>
        <v>26.464746772591859</v>
      </c>
      <c r="X31" s="26">
        <f t="shared" si="37"/>
        <v>232.02764976958522</v>
      </c>
      <c r="Y31" s="96">
        <f t="shared" si="37"/>
        <v>205.28293545534925</v>
      </c>
      <c r="Z31" s="113"/>
      <c r="AA31" s="107" t="s">
        <v>12</v>
      </c>
      <c r="AB31" s="99">
        <f>AB30/AB29*100</f>
        <v>200</v>
      </c>
      <c r="AC31" s="99">
        <f t="shared" ref="AC31:AH31" si="38">AC30/AC29*100</f>
        <v>202.03735144312395</v>
      </c>
      <c r="AD31" s="99">
        <f t="shared" si="38"/>
        <v>190.96045197740114</v>
      </c>
      <c r="AE31" s="99">
        <f t="shared" si="38"/>
        <v>295.65217391304344</v>
      </c>
      <c r="AF31" s="99">
        <f t="shared" si="38"/>
        <v>157.30337078651687</v>
      </c>
      <c r="AG31" s="99">
        <f t="shared" si="38"/>
        <v>103.44827586206897</v>
      </c>
      <c r="AH31" s="96">
        <f t="shared" si="38"/>
        <v>206.64819944598335</v>
      </c>
      <c r="AI31" s="113"/>
      <c r="AJ31" s="107" t="s">
        <v>12</v>
      </c>
      <c r="AK31" s="26">
        <f>AK30/AK29*100</f>
        <v>0</v>
      </c>
      <c r="AL31" s="26">
        <f>AL30/AL29*100</f>
        <v>0</v>
      </c>
      <c r="AM31" s="26">
        <f>AM30/AM29*100</f>
        <v>0</v>
      </c>
      <c r="AN31" s="26">
        <v>0</v>
      </c>
      <c r="AO31" s="26">
        <f>AO30/AO29*100</f>
        <v>0</v>
      </c>
      <c r="AP31" s="26">
        <f>AP30/AP29*100</f>
        <v>0</v>
      </c>
      <c r="AQ31" s="96">
        <f>AQ30/AQ29*100</f>
        <v>0</v>
      </c>
    </row>
    <row r="32" spans="1:43" customFormat="1">
      <c r="A32" s="107" t="s">
        <v>27</v>
      </c>
      <c r="B32" s="6">
        <f>K32+S32+AK32</f>
        <v>14.5</v>
      </c>
      <c r="C32" s="6">
        <f>L32+T32+AL32</f>
        <v>2286</v>
      </c>
      <c r="D32" s="6">
        <f>E32+F32+G32+H32</f>
        <v>2057</v>
      </c>
      <c r="E32" s="6">
        <f t="shared" ref="E32:H33" si="39">N32+V32+AN32</f>
        <v>432</v>
      </c>
      <c r="F32" s="6">
        <f t="shared" si="39"/>
        <v>831</v>
      </c>
      <c r="G32" s="6">
        <f t="shared" si="39"/>
        <v>91</v>
      </c>
      <c r="H32" s="95">
        <f t="shared" si="39"/>
        <v>703</v>
      </c>
      <c r="J32" s="107" t="s">
        <v>27</v>
      </c>
      <c r="K32" s="6"/>
      <c r="L32" s="6"/>
      <c r="M32" s="6">
        <f>N32+O32+P32+Q32</f>
        <v>0</v>
      </c>
      <c r="N32" s="6"/>
      <c r="O32" s="6"/>
      <c r="P32" s="6"/>
      <c r="Q32" s="95"/>
      <c r="R32" s="107" t="s">
        <v>27</v>
      </c>
      <c r="S32" s="6">
        <v>13.5</v>
      </c>
      <c r="T32" s="6">
        <v>2286</v>
      </c>
      <c r="U32" s="6">
        <f>V32+W32+X32+Y32</f>
        <v>2057</v>
      </c>
      <c r="V32" s="6">
        <v>432</v>
      </c>
      <c r="W32" s="6">
        <v>831</v>
      </c>
      <c r="X32" s="6">
        <v>91</v>
      </c>
      <c r="Y32" s="95">
        <v>703</v>
      </c>
      <c r="Z32" s="1"/>
      <c r="AA32" s="107" t="s">
        <v>27</v>
      </c>
      <c r="AB32" s="6">
        <v>13.5</v>
      </c>
      <c r="AC32" s="6">
        <v>2286</v>
      </c>
      <c r="AD32" s="6">
        <f>AE32+AF32+AG32+AH32</f>
        <v>2057</v>
      </c>
      <c r="AE32" s="6">
        <v>432</v>
      </c>
      <c r="AF32" s="6">
        <v>831</v>
      </c>
      <c r="AG32" s="6">
        <v>91</v>
      </c>
      <c r="AH32" s="95">
        <v>703</v>
      </c>
      <c r="AI32" s="1"/>
      <c r="AJ32" s="107" t="s">
        <v>27</v>
      </c>
      <c r="AK32" s="27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95">
        <v>0</v>
      </c>
    </row>
    <row r="33" spans="1:43" customFormat="1">
      <c r="A33" s="107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9"/>
        <v>0</v>
      </c>
      <c r="F33" s="6">
        <f t="shared" si="39"/>
        <v>0</v>
      </c>
      <c r="G33" s="6">
        <f t="shared" si="39"/>
        <v>0</v>
      </c>
      <c r="H33" s="95">
        <f t="shared" si="39"/>
        <v>0</v>
      </c>
      <c r="J33" s="107" t="s">
        <v>28</v>
      </c>
      <c r="K33" s="6"/>
      <c r="L33" s="6"/>
      <c r="M33" s="6">
        <f>N33+O33+P33+Q33</f>
        <v>0</v>
      </c>
      <c r="N33" s="6"/>
      <c r="O33" s="6"/>
      <c r="P33" s="6"/>
      <c r="Q33" s="95"/>
      <c r="R33" s="107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95">
        <v>0</v>
      </c>
      <c r="Z33" s="1"/>
      <c r="AA33" s="107" t="s">
        <v>28</v>
      </c>
      <c r="AB33" s="6">
        <v>0</v>
      </c>
      <c r="AC33" s="6">
        <v>0</v>
      </c>
      <c r="AD33" s="6">
        <f>AE33+AF33+AG33+AH33</f>
        <v>0</v>
      </c>
      <c r="AE33" s="6">
        <v>0</v>
      </c>
      <c r="AF33" s="6">
        <v>0</v>
      </c>
      <c r="AG33" s="6">
        <v>0</v>
      </c>
      <c r="AH33" s="95">
        <v>0</v>
      </c>
      <c r="AI33" s="1"/>
      <c r="AJ33" s="107" t="s">
        <v>28</v>
      </c>
      <c r="AK33" s="6"/>
      <c r="AL33" s="6"/>
      <c r="AM33" s="6">
        <f>AN33+AO33+AP33+AQ33</f>
        <v>0</v>
      </c>
      <c r="AN33" s="6"/>
      <c r="AO33" s="6"/>
      <c r="AP33" s="6"/>
      <c r="AQ33" s="95"/>
    </row>
    <row r="34" spans="1:43" customFormat="1">
      <c r="A34" s="107" t="s">
        <v>12</v>
      </c>
      <c r="B34" s="26">
        <f t="shared" ref="B34:H34" si="40">B33/B32*100</f>
        <v>0</v>
      </c>
      <c r="C34" s="26">
        <f t="shared" si="40"/>
        <v>0</v>
      </c>
      <c r="D34" s="26">
        <f t="shared" si="40"/>
        <v>0</v>
      </c>
      <c r="E34" s="26">
        <f t="shared" si="40"/>
        <v>0</v>
      </c>
      <c r="F34" s="26">
        <f t="shared" si="40"/>
        <v>0</v>
      </c>
      <c r="G34" s="26">
        <f t="shared" si="40"/>
        <v>0</v>
      </c>
      <c r="H34" s="96">
        <f t="shared" si="40"/>
        <v>0</v>
      </c>
      <c r="J34" s="107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96">
        <v>0</v>
      </c>
      <c r="R34" s="107" t="s">
        <v>12</v>
      </c>
      <c r="S34" s="26">
        <f t="shared" ref="S34:Y34" si="41">S33/S32*100</f>
        <v>0</v>
      </c>
      <c r="T34" s="26">
        <f t="shared" si="41"/>
        <v>0</v>
      </c>
      <c r="U34" s="26">
        <f t="shared" si="41"/>
        <v>0</v>
      </c>
      <c r="V34" s="26">
        <f t="shared" si="41"/>
        <v>0</v>
      </c>
      <c r="W34" s="26">
        <f t="shared" si="41"/>
        <v>0</v>
      </c>
      <c r="X34" s="26">
        <f t="shared" si="41"/>
        <v>0</v>
      </c>
      <c r="Y34" s="96">
        <f t="shared" si="41"/>
        <v>0</v>
      </c>
      <c r="Z34" s="113"/>
      <c r="AA34" s="107" t="s">
        <v>12</v>
      </c>
      <c r="AB34" s="26">
        <f t="shared" ref="AB34:AH34" si="42">AB33/AB32*100</f>
        <v>0</v>
      </c>
      <c r="AC34" s="26">
        <f t="shared" si="42"/>
        <v>0</v>
      </c>
      <c r="AD34" s="26">
        <f t="shared" si="42"/>
        <v>0</v>
      </c>
      <c r="AE34" s="26">
        <f t="shared" si="42"/>
        <v>0</v>
      </c>
      <c r="AF34" s="26">
        <f t="shared" si="42"/>
        <v>0</v>
      </c>
      <c r="AG34" s="26">
        <f t="shared" si="42"/>
        <v>0</v>
      </c>
      <c r="AH34" s="96">
        <f t="shared" si="42"/>
        <v>0</v>
      </c>
      <c r="AI34" s="113"/>
      <c r="AJ34" s="107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96">
        <v>0</v>
      </c>
    </row>
    <row r="35" spans="1:43" customFormat="1">
      <c r="A35" s="107" t="s">
        <v>29</v>
      </c>
      <c r="B35" s="6">
        <f>K35+S35+AK35</f>
        <v>121.30000000000001</v>
      </c>
      <c r="C35" s="6">
        <f>L35+T35+AL35</f>
        <v>11792</v>
      </c>
      <c r="D35" s="6">
        <f>E35+F35+G35+H35</f>
        <v>10029</v>
      </c>
      <c r="E35" s="6">
        <f t="shared" ref="E35:H36" si="43">N35+V35+AN35</f>
        <v>66</v>
      </c>
      <c r="F35" s="6">
        <f t="shared" si="43"/>
        <v>2890</v>
      </c>
      <c r="G35" s="6">
        <f t="shared" si="43"/>
        <v>606</v>
      </c>
      <c r="H35" s="95">
        <f t="shared" si="43"/>
        <v>6467</v>
      </c>
      <c r="J35" s="107" t="s">
        <v>29</v>
      </c>
      <c r="K35" s="6">
        <v>1.2</v>
      </c>
      <c r="L35" s="6">
        <v>92</v>
      </c>
      <c r="M35" s="6">
        <f>N35+O35+P35+Q35</f>
        <v>81</v>
      </c>
      <c r="N35" s="6">
        <v>1</v>
      </c>
      <c r="O35" s="6">
        <v>10</v>
      </c>
      <c r="P35" s="6">
        <v>10</v>
      </c>
      <c r="Q35" s="95">
        <v>60</v>
      </c>
      <c r="R35" s="107" t="s">
        <v>29</v>
      </c>
      <c r="S35" s="6">
        <v>119.4</v>
      </c>
      <c r="T35" s="6">
        <v>11660</v>
      </c>
      <c r="U35" s="6">
        <f>V35+W35+X35+Y35</f>
        <v>9916</v>
      </c>
      <c r="V35" s="6">
        <v>65</v>
      </c>
      <c r="W35" s="6">
        <v>2879</v>
      </c>
      <c r="X35" s="6">
        <v>596</v>
      </c>
      <c r="Y35" s="95">
        <v>6376</v>
      </c>
      <c r="Z35" s="1"/>
      <c r="AA35" s="107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95">
        <v>1</v>
      </c>
      <c r="AI35" s="1"/>
      <c r="AJ35" s="107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95">
        <v>31</v>
      </c>
    </row>
    <row r="36" spans="1:43" customFormat="1">
      <c r="A36" s="107" t="s">
        <v>30</v>
      </c>
      <c r="B36" s="6">
        <f>K36+S36+AK36</f>
        <v>42.3</v>
      </c>
      <c r="C36" s="6">
        <f>L36+T36+AL36</f>
        <v>4420</v>
      </c>
      <c r="D36" s="6">
        <f>E36+F36+G36+H36</f>
        <v>3776</v>
      </c>
      <c r="E36" s="6">
        <f t="shared" si="43"/>
        <v>21</v>
      </c>
      <c r="F36" s="6">
        <f t="shared" si="43"/>
        <v>576</v>
      </c>
      <c r="G36" s="6">
        <f t="shared" si="43"/>
        <v>357</v>
      </c>
      <c r="H36" s="95">
        <f t="shared" si="43"/>
        <v>2822</v>
      </c>
      <c r="J36" s="107" t="s">
        <v>30</v>
      </c>
      <c r="K36" s="6">
        <v>0</v>
      </c>
      <c r="L36" s="6">
        <v>0</v>
      </c>
      <c r="M36" s="6">
        <f>N36+O36+P36+Q36</f>
        <v>0</v>
      </c>
      <c r="N36" s="6">
        <v>0</v>
      </c>
      <c r="O36" s="6">
        <v>0</v>
      </c>
      <c r="P36" s="6">
        <v>0</v>
      </c>
      <c r="Q36" s="95">
        <v>0</v>
      </c>
      <c r="R36" s="107" t="s">
        <v>30</v>
      </c>
      <c r="S36" s="27">
        <v>42.3</v>
      </c>
      <c r="T36" s="6">
        <v>4420</v>
      </c>
      <c r="U36" s="6">
        <f>V36+W36+X36+Y36</f>
        <v>3776</v>
      </c>
      <c r="V36" s="6">
        <v>21</v>
      </c>
      <c r="W36" s="6">
        <v>576</v>
      </c>
      <c r="X36" s="6">
        <v>357</v>
      </c>
      <c r="Y36" s="95">
        <v>2822</v>
      </c>
      <c r="Z36" s="1"/>
      <c r="AA36" s="107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95">
        <v>0</v>
      </c>
      <c r="AI36" s="1"/>
      <c r="AJ36" s="107" t="s">
        <v>30</v>
      </c>
      <c r="AK36" s="6"/>
      <c r="AL36" s="6">
        <v>0</v>
      </c>
      <c r="AM36" s="6">
        <f>AN36+AO36+AP36+AQ36</f>
        <v>0</v>
      </c>
      <c r="AN36" s="6"/>
      <c r="AO36" s="6"/>
      <c r="AP36" s="6">
        <v>0</v>
      </c>
      <c r="AQ36" s="95">
        <v>0</v>
      </c>
    </row>
    <row r="37" spans="1:43" customFormat="1">
      <c r="A37" s="107" t="s">
        <v>12</v>
      </c>
      <c r="B37" s="26">
        <f t="shared" ref="B37:H37" si="44">B36/B35*100</f>
        <v>34.872217642209392</v>
      </c>
      <c r="C37" s="26">
        <f t="shared" si="44"/>
        <v>37.483039348710989</v>
      </c>
      <c r="D37" s="26">
        <f t="shared" si="44"/>
        <v>37.650812643334334</v>
      </c>
      <c r="E37" s="26">
        <f t="shared" si="44"/>
        <v>31.818181818181817</v>
      </c>
      <c r="F37" s="26">
        <f t="shared" si="44"/>
        <v>19.930795847750865</v>
      </c>
      <c r="G37" s="26">
        <f t="shared" si="44"/>
        <v>58.910891089108908</v>
      </c>
      <c r="H37" s="96">
        <f t="shared" si="44"/>
        <v>43.63692593165301</v>
      </c>
      <c r="J37" s="107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96">
        <v>0</v>
      </c>
      <c r="R37" s="107" t="s">
        <v>12</v>
      </c>
      <c r="S37" s="26">
        <f t="shared" ref="S37:Y37" si="45">S36/S35*100</f>
        <v>35.427135678391956</v>
      </c>
      <c r="T37" s="26">
        <f t="shared" si="45"/>
        <v>37.907375643224697</v>
      </c>
      <c r="U37" s="26">
        <f t="shared" si="45"/>
        <v>38.079870915691814</v>
      </c>
      <c r="V37" s="26">
        <f t="shared" si="45"/>
        <v>32.307692307692307</v>
      </c>
      <c r="W37" s="26">
        <f t="shared" si="45"/>
        <v>20.006946856547412</v>
      </c>
      <c r="X37" s="26">
        <f t="shared" si="45"/>
        <v>59.899328859060411</v>
      </c>
      <c r="Y37" s="96">
        <f t="shared" si="45"/>
        <v>44.259723964868257</v>
      </c>
      <c r="Z37" s="113"/>
      <c r="AA37" s="107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96">
        <v>0</v>
      </c>
      <c r="AI37" s="113"/>
      <c r="AJ37" s="107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96">
        <v>0</v>
      </c>
    </row>
    <row r="38" spans="1:43" customFormat="1">
      <c r="A38" s="107" t="s">
        <v>31</v>
      </c>
      <c r="B38" s="27">
        <f>K38+S38+AK38</f>
        <v>340.3</v>
      </c>
      <c r="C38" s="6">
        <f>L38+T38+AL38</f>
        <v>18293</v>
      </c>
      <c r="D38" s="6">
        <f>E38+F38+G38+H38</f>
        <v>15513</v>
      </c>
      <c r="E38" s="6">
        <f t="shared" ref="E38:H39" si="46">N38+V38+AN38</f>
        <v>2726</v>
      </c>
      <c r="F38" s="6">
        <f t="shared" si="46"/>
        <v>4101</v>
      </c>
      <c r="G38" s="6">
        <f t="shared" si="46"/>
        <v>613</v>
      </c>
      <c r="H38" s="95">
        <f t="shared" si="46"/>
        <v>8073</v>
      </c>
      <c r="J38" s="107" t="s">
        <v>31</v>
      </c>
      <c r="K38" s="27">
        <v>156</v>
      </c>
      <c r="L38" s="6">
        <v>5725</v>
      </c>
      <c r="M38" s="6">
        <f>N38+O38+P38+Q38</f>
        <v>4714</v>
      </c>
      <c r="N38" s="6">
        <v>367</v>
      </c>
      <c r="O38" s="6">
        <v>1746</v>
      </c>
      <c r="P38" s="6">
        <v>301</v>
      </c>
      <c r="Q38" s="95">
        <v>2300</v>
      </c>
      <c r="R38" s="107" t="s">
        <v>31</v>
      </c>
      <c r="S38" s="27">
        <v>168.5</v>
      </c>
      <c r="T38" s="6">
        <v>12102</v>
      </c>
      <c r="U38" s="6">
        <f>V38+W38+X38+Y38</f>
        <v>10411</v>
      </c>
      <c r="V38" s="6">
        <v>2345</v>
      </c>
      <c r="W38" s="6">
        <v>2276</v>
      </c>
      <c r="X38" s="6">
        <v>300</v>
      </c>
      <c r="Y38" s="95">
        <v>5490</v>
      </c>
      <c r="Z38" s="1"/>
      <c r="AA38" s="107" t="s">
        <v>31</v>
      </c>
      <c r="AB38" s="6">
        <v>102.4</v>
      </c>
      <c r="AC38" s="6">
        <v>8295</v>
      </c>
      <c r="AD38" s="6">
        <f>AE38+AF38+AG38+AH38</f>
        <v>7091</v>
      </c>
      <c r="AE38" s="6">
        <v>2145</v>
      </c>
      <c r="AF38" s="6">
        <v>1505</v>
      </c>
      <c r="AG38" s="6">
        <v>167</v>
      </c>
      <c r="AH38" s="95">
        <v>3274</v>
      </c>
      <c r="AI38" s="1"/>
      <c r="AJ38" s="107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95">
        <v>283</v>
      </c>
    </row>
    <row r="39" spans="1:43" customFormat="1">
      <c r="A39" s="107" t="s">
        <v>32</v>
      </c>
      <c r="B39" s="27">
        <f>K39+S39+AK39</f>
        <v>316.5</v>
      </c>
      <c r="C39" s="6">
        <f>L39+T39+AL39</f>
        <v>19290</v>
      </c>
      <c r="D39" s="6">
        <f>E39+F39+G39+H39</f>
        <v>15651</v>
      </c>
      <c r="E39" s="6">
        <f t="shared" si="46"/>
        <v>1789</v>
      </c>
      <c r="F39" s="6">
        <f t="shared" si="46"/>
        <v>2152</v>
      </c>
      <c r="G39" s="6">
        <f t="shared" si="46"/>
        <v>832</v>
      </c>
      <c r="H39" s="95">
        <f t="shared" si="46"/>
        <v>10878</v>
      </c>
      <c r="J39" s="107" t="s">
        <v>32</v>
      </c>
      <c r="K39" s="27">
        <v>1.8</v>
      </c>
      <c r="L39" s="6">
        <v>180</v>
      </c>
      <c r="M39" s="6">
        <f>Q39+P39+O39+N39</f>
        <v>154</v>
      </c>
      <c r="N39" s="6">
        <v>3</v>
      </c>
      <c r="O39" s="6">
        <v>23</v>
      </c>
      <c r="P39" s="6">
        <v>8</v>
      </c>
      <c r="Q39" s="95">
        <v>120</v>
      </c>
      <c r="R39" s="107" t="s">
        <v>32</v>
      </c>
      <c r="S39" s="27">
        <v>314.7</v>
      </c>
      <c r="T39" s="6">
        <v>19110</v>
      </c>
      <c r="U39" s="6">
        <f>V39+W39+X39+Y39</f>
        <v>15497</v>
      </c>
      <c r="V39" s="6">
        <v>1786</v>
      </c>
      <c r="W39" s="6">
        <v>2129</v>
      </c>
      <c r="X39" s="6">
        <v>824</v>
      </c>
      <c r="Y39" s="95">
        <v>10758</v>
      </c>
      <c r="Z39" s="1"/>
      <c r="AA39" s="107" t="s">
        <v>32</v>
      </c>
      <c r="AB39" s="27">
        <v>132.4</v>
      </c>
      <c r="AC39" s="6">
        <v>10880</v>
      </c>
      <c r="AD39" s="6">
        <f>AE39+AF39+AG39+AH39</f>
        <v>8636</v>
      </c>
      <c r="AE39" s="6">
        <v>1109</v>
      </c>
      <c r="AF39" s="6">
        <v>1878</v>
      </c>
      <c r="AG39" s="6">
        <v>537</v>
      </c>
      <c r="AH39" s="95">
        <v>5112</v>
      </c>
      <c r="AI39" s="1"/>
      <c r="AJ39" s="107" t="s">
        <v>32</v>
      </c>
      <c r="AK39" s="27"/>
      <c r="AL39" s="6"/>
      <c r="AM39" s="6">
        <f>AN39+AO39+AP39+AQ39</f>
        <v>0</v>
      </c>
      <c r="AN39" s="6"/>
      <c r="AO39" s="6"/>
      <c r="AP39" s="6"/>
      <c r="AQ39" s="95"/>
    </row>
    <row r="40" spans="1:43" customFormat="1" ht="13.8" thickBot="1">
      <c r="A40" s="108" t="s">
        <v>12</v>
      </c>
      <c r="B40" s="78">
        <f t="shared" ref="B40:H40" si="47">B39/B38*100</f>
        <v>93.006171025565678</v>
      </c>
      <c r="C40" s="78">
        <f t="shared" si="47"/>
        <v>105.45017219701525</v>
      </c>
      <c r="D40" s="78">
        <f t="shared" si="47"/>
        <v>100.88957648423902</v>
      </c>
      <c r="E40" s="78">
        <f t="shared" si="47"/>
        <v>65.627292736610414</v>
      </c>
      <c r="F40" s="78">
        <f t="shared" si="47"/>
        <v>52.475006096074125</v>
      </c>
      <c r="G40" s="78">
        <f t="shared" si="47"/>
        <v>135.72593800978794</v>
      </c>
      <c r="H40" s="97">
        <f t="shared" si="47"/>
        <v>134.74544778892604</v>
      </c>
      <c r="J40" s="108" t="s">
        <v>12</v>
      </c>
      <c r="K40" s="78">
        <f t="shared" ref="K40:Q40" si="48">K39/K38*100</f>
        <v>1.153846153846154</v>
      </c>
      <c r="L40" s="78">
        <f t="shared" si="48"/>
        <v>3.14410480349345</v>
      </c>
      <c r="M40" s="78">
        <f t="shared" si="48"/>
        <v>3.266864658464149</v>
      </c>
      <c r="N40" s="78">
        <f t="shared" si="48"/>
        <v>0.81743869209809261</v>
      </c>
      <c r="O40" s="78">
        <f t="shared" si="48"/>
        <v>1.3172966781214204</v>
      </c>
      <c r="P40" s="78">
        <f t="shared" si="48"/>
        <v>2.6578073089700998</v>
      </c>
      <c r="Q40" s="97">
        <f t="shared" si="48"/>
        <v>5.2173913043478262</v>
      </c>
      <c r="R40" s="108" t="s">
        <v>12</v>
      </c>
      <c r="S40" s="78">
        <f t="shared" ref="S40:Y40" si="49">S39/S38*100</f>
        <v>186.76557863501483</v>
      </c>
      <c r="T40" s="78">
        <f t="shared" si="49"/>
        <v>157.90778383738225</v>
      </c>
      <c r="U40" s="78">
        <f t="shared" si="49"/>
        <v>148.85217558351744</v>
      </c>
      <c r="V40" s="78">
        <f t="shared" si="49"/>
        <v>76.16204690831556</v>
      </c>
      <c r="W40" s="78">
        <f t="shared" si="49"/>
        <v>93.541300527240779</v>
      </c>
      <c r="X40" s="78">
        <f t="shared" si="49"/>
        <v>274.66666666666669</v>
      </c>
      <c r="Y40" s="97">
        <f t="shared" si="49"/>
        <v>195.95628415300547</v>
      </c>
      <c r="Z40" s="113"/>
      <c r="AA40" s="108" t="s">
        <v>12</v>
      </c>
      <c r="AB40" s="397">
        <f>AB39/AB38*100</f>
        <v>129.296875</v>
      </c>
      <c r="AC40" s="78">
        <f t="shared" ref="AC40:AH40" si="50">AC39/AC38*100</f>
        <v>131.16335141651598</v>
      </c>
      <c r="AD40" s="78">
        <f t="shared" si="50"/>
        <v>121.78818220279226</v>
      </c>
      <c r="AE40" s="78">
        <f t="shared" si="50"/>
        <v>51.701631701631698</v>
      </c>
      <c r="AF40" s="78">
        <f t="shared" si="50"/>
        <v>124.78405315614619</v>
      </c>
      <c r="AG40" s="78">
        <f t="shared" si="50"/>
        <v>321.55688622754491</v>
      </c>
      <c r="AH40" s="97">
        <f t="shared" si="50"/>
        <v>156.13927916921199</v>
      </c>
      <c r="AI40" s="113"/>
      <c r="AJ40" s="108" t="s">
        <v>12</v>
      </c>
      <c r="AK40" s="78">
        <f>AK39/AK38*100</f>
        <v>0</v>
      </c>
      <c r="AL40" s="78">
        <f>AL39/AL38*100</f>
        <v>0</v>
      </c>
      <c r="AM40" s="78">
        <f>AM39/AM38*100</f>
        <v>0</v>
      </c>
      <c r="AN40" s="78">
        <v>0</v>
      </c>
      <c r="AO40" s="78">
        <f>AO39/AO38*100</f>
        <v>0</v>
      </c>
      <c r="AP40" s="78">
        <f>AP39/AP38*100</f>
        <v>0</v>
      </c>
      <c r="AQ40" s="97">
        <f>AQ39/AQ38*100</f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37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7" t="s">
        <v>17</v>
      </c>
      <c r="B45" s="207"/>
      <c r="C45" s="208"/>
      <c r="D45" s="207"/>
      <c r="E45" s="207"/>
      <c r="F45" s="207"/>
      <c r="G45" s="207"/>
      <c r="H45" s="209"/>
    </row>
    <row r="46" spans="1:43">
      <c r="A46" s="75" t="s">
        <v>40</v>
      </c>
      <c r="B46" s="210">
        <f t="shared" ref="B46:H47" si="51">K9+S9+AK9</f>
        <v>970.69999999999993</v>
      </c>
      <c r="C46" s="210">
        <f t="shared" si="51"/>
        <v>50860</v>
      </c>
      <c r="D46" s="210">
        <f t="shared" si="51"/>
        <v>44082</v>
      </c>
      <c r="E46" s="210">
        <f t="shared" si="51"/>
        <v>4072</v>
      </c>
      <c r="F46" s="210">
        <f t="shared" si="51"/>
        <v>10751</v>
      </c>
      <c r="G46" s="210">
        <f t="shared" si="51"/>
        <v>1892</v>
      </c>
      <c r="H46" s="210">
        <f t="shared" si="51"/>
        <v>27367</v>
      </c>
    </row>
    <row r="47" spans="1:43">
      <c r="A47" s="211" t="s">
        <v>50</v>
      </c>
      <c r="B47" s="210">
        <f t="shared" si="51"/>
        <v>1063</v>
      </c>
      <c r="C47" s="210">
        <f t="shared" si="51"/>
        <v>51060</v>
      </c>
      <c r="D47" s="210">
        <f t="shared" si="51"/>
        <v>43876</v>
      </c>
      <c r="E47" s="210">
        <f t="shared" si="51"/>
        <v>4536</v>
      </c>
      <c r="F47" s="210">
        <f t="shared" si="51"/>
        <v>3300</v>
      </c>
      <c r="G47" s="210">
        <f t="shared" si="51"/>
        <v>2272</v>
      </c>
      <c r="H47" s="210">
        <f t="shared" si="51"/>
        <v>33768</v>
      </c>
    </row>
    <row r="48" spans="1:43">
      <c r="A48" s="212" t="s">
        <v>44</v>
      </c>
      <c r="B48" s="213">
        <f>B47/B46*100</f>
        <v>109.50860203976514</v>
      </c>
      <c r="C48" s="213">
        <f t="shared" ref="C48:H48" si="52">C47/C46*100</f>
        <v>100.39323633503736</v>
      </c>
      <c r="D48" s="213">
        <f t="shared" si="52"/>
        <v>99.532689079442861</v>
      </c>
      <c r="E48" s="213">
        <f t="shared" si="52"/>
        <v>111.39489194499018</v>
      </c>
      <c r="F48" s="213">
        <f t="shared" si="52"/>
        <v>30.694819086596599</v>
      </c>
      <c r="G48" s="213">
        <f t="shared" si="52"/>
        <v>120.08456659619451</v>
      </c>
      <c r="H48" s="213">
        <f t="shared" si="52"/>
        <v>123.3894836847298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3">K13+S13+AK13</f>
        <v>1.5</v>
      </c>
      <c r="C50" s="90">
        <f t="shared" si="53"/>
        <v>75</v>
      </c>
      <c r="D50" s="90">
        <f t="shared" si="53"/>
        <v>59</v>
      </c>
      <c r="E50" s="90">
        <f t="shared" si="53"/>
        <v>2</v>
      </c>
      <c r="F50" s="90">
        <f t="shared" si="53"/>
        <v>14</v>
      </c>
      <c r="G50" s="90">
        <f t="shared" si="53"/>
        <v>4</v>
      </c>
      <c r="H50" s="90">
        <f t="shared" si="53"/>
        <v>39</v>
      </c>
    </row>
    <row r="51" spans="1:8">
      <c r="A51" s="75" t="s">
        <v>50</v>
      </c>
      <c r="B51" s="90">
        <f t="shared" si="53"/>
        <v>0</v>
      </c>
      <c r="C51" s="90">
        <f t="shared" si="53"/>
        <v>0</v>
      </c>
      <c r="D51" s="90">
        <f t="shared" si="53"/>
        <v>0</v>
      </c>
      <c r="E51" s="90">
        <f t="shared" si="53"/>
        <v>0</v>
      </c>
      <c r="F51" s="90">
        <f t="shared" si="53"/>
        <v>0</v>
      </c>
      <c r="G51" s="90">
        <f t="shared" si="53"/>
        <v>0</v>
      </c>
      <c r="H51" s="90">
        <f t="shared" si="53"/>
        <v>0</v>
      </c>
    </row>
    <row r="52" spans="1:8">
      <c r="A52" s="75" t="s">
        <v>44</v>
      </c>
      <c r="B52" s="214">
        <f t="shared" ref="B52:H52" si="54">B51/B50*100</f>
        <v>0</v>
      </c>
      <c r="C52" s="214">
        <f t="shared" si="54"/>
        <v>0</v>
      </c>
      <c r="D52" s="214">
        <f t="shared" si="54"/>
        <v>0</v>
      </c>
      <c r="E52" s="214">
        <f t="shared" si="54"/>
        <v>0</v>
      </c>
      <c r="F52" s="214">
        <f t="shared" si="54"/>
        <v>0</v>
      </c>
      <c r="G52" s="214">
        <f t="shared" si="54"/>
        <v>0</v>
      </c>
      <c r="H52" s="214">
        <f t="shared" si="54"/>
        <v>0</v>
      </c>
    </row>
    <row r="53" spans="1:8">
      <c r="A53" s="75" t="s">
        <v>13</v>
      </c>
      <c r="B53" s="90">
        <f t="shared" ref="B53:H55" si="55">K16+S16+AK16</f>
        <v>0</v>
      </c>
      <c r="C53" s="90">
        <f t="shared" si="55"/>
        <v>0</v>
      </c>
      <c r="D53" s="90">
        <f t="shared" si="55"/>
        <v>0</v>
      </c>
      <c r="E53" s="90">
        <f t="shared" si="55"/>
        <v>0</v>
      </c>
      <c r="F53" s="90">
        <f t="shared" si="55"/>
        <v>0</v>
      </c>
      <c r="G53" s="90">
        <f t="shared" si="55"/>
        <v>0</v>
      </c>
      <c r="H53" s="90">
        <f t="shared" si="55"/>
        <v>0</v>
      </c>
    </row>
    <row r="54" spans="1:8">
      <c r="A54" s="92" t="s">
        <v>14</v>
      </c>
      <c r="B54" s="90">
        <f t="shared" si="55"/>
        <v>0</v>
      </c>
      <c r="C54" s="90">
        <f t="shared" si="55"/>
        <v>0</v>
      </c>
      <c r="D54" s="90">
        <f t="shared" si="55"/>
        <v>0</v>
      </c>
      <c r="E54" s="90">
        <f t="shared" si="55"/>
        <v>0</v>
      </c>
      <c r="F54" s="90">
        <f t="shared" si="55"/>
        <v>0</v>
      </c>
      <c r="G54" s="90">
        <f t="shared" si="55"/>
        <v>0</v>
      </c>
      <c r="H54" s="90">
        <f t="shared" si="55"/>
        <v>0</v>
      </c>
    </row>
    <row r="55" spans="1:8">
      <c r="A55" s="75" t="s">
        <v>15</v>
      </c>
      <c r="B55" s="90">
        <f t="shared" si="55"/>
        <v>0</v>
      </c>
      <c r="C55" s="90">
        <f t="shared" si="55"/>
        <v>0</v>
      </c>
      <c r="D55" s="90">
        <f t="shared" si="55"/>
        <v>0</v>
      </c>
      <c r="E55" s="90">
        <f t="shared" si="55"/>
        <v>0</v>
      </c>
      <c r="F55" s="90">
        <f t="shared" si="55"/>
        <v>0</v>
      </c>
      <c r="G55" s="90">
        <f t="shared" si="55"/>
        <v>0</v>
      </c>
      <c r="H55" s="90">
        <f t="shared" si="55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6">K20+S20+AK20</f>
        <v>969.19999999999993</v>
      </c>
      <c r="C57" s="90">
        <f t="shared" si="56"/>
        <v>50785</v>
      </c>
      <c r="D57" s="90">
        <f t="shared" si="56"/>
        <v>44023</v>
      </c>
      <c r="E57" s="90">
        <f t="shared" si="56"/>
        <v>4070</v>
      </c>
      <c r="F57" s="90">
        <f t="shared" si="56"/>
        <v>10737</v>
      </c>
      <c r="G57" s="90">
        <f t="shared" si="56"/>
        <v>1888</v>
      </c>
      <c r="H57" s="90">
        <f t="shared" si="56"/>
        <v>27328</v>
      </c>
    </row>
    <row r="58" spans="1:8">
      <c r="A58" s="92" t="s">
        <v>50</v>
      </c>
      <c r="B58" s="90">
        <f t="shared" si="56"/>
        <v>1063</v>
      </c>
      <c r="C58" s="90">
        <f t="shared" si="56"/>
        <v>51060</v>
      </c>
      <c r="D58" s="90">
        <f t="shared" si="56"/>
        <v>43876</v>
      </c>
      <c r="E58" s="90">
        <f t="shared" si="56"/>
        <v>4536</v>
      </c>
      <c r="F58" s="90">
        <f t="shared" si="56"/>
        <v>3300</v>
      </c>
      <c r="G58" s="90">
        <f t="shared" si="56"/>
        <v>2272</v>
      </c>
      <c r="H58" s="90">
        <f t="shared" si="56"/>
        <v>33768</v>
      </c>
    </row>
    <row r="59" spans="1:8">
      <c r="A59" s="75" t="s">
        <v>44</v>
      </c>
      <c r="B59" s="214">
        <f t="shared" ref="B59:H59" si="57">B58/B57*100</f>
        <v>109.67808501857203</v>
      </c>
      <c r="C59" s="214">
        <f t="shared" si="57"/>
        <v>100.54149847395885</v>
      </c>
      <c r="D59" s="214">
        <f t="shared" si="57"/>
        <v>99.666083638098272</v>
      </c>
      <c r="E59" s="214">
        <f t="shared" si="57"/>
        <v>111.44963144963145</v>
      </c>
      <c r="F59" s="214">
        <f t="shared" si="57"/>
        <v>30.734842134674491</v>
      </c>
      <c r="G59" s="214">
        <f t="shared" si="57"/>
        <v>120.33898305084745</v>
      </c>
      <c r="H59" s="214">
        <f t="shared" si="57"/>
        <v>123.5655737704918</v>
      </c>
    </row>
    <row r="60" spans="1:8">
      <c r="A60" s="75" t="s">
        <v>21</v>
      </c>
      <c r="B60" s="90">
        <f t="shared" ref="B60:H61" si="58">K23+S23+AK23</f>
        <v>0</v>
      </c>
      <c r="C60" s="90">
        <f t="shared" si="58"/>
        <v>0</v>
      </c>
      <c r="D60" s="90">
        <f t="shared" si="58"/>
        <v>0</v>
      </c>
      <c r="E60" s="90">
        <f t="shared" si="58"/>
        <v>0</v>
      </c>
      <c r="F60" s="90">
        <f t="shared" si="58"/>
        <v>0</v>
      </c>
      <c r="G60" s="90">
        <f t="shared" si="58"/>
        <v>0</v>
      </c>
      <c r="H60" s="90">
        <f t="shared" si="58"/>
        <v>0</v>
      </c>
    </row>
    <row r="61" spans="1:8">
      <c r="A61" s="75" t="s">
        <v>51</v>
      </c>
      <c r="B61" s="90">
        <f t="shared" si="58"/>
        <v>0</v>
      </c>
      <c r="C61" s="90">
        <f t="shared" si="58"/>
        <v>0</v>
      </c>
      <c r="D61" s="90">
        <f t="shared" si="58"/>
        <v>0</v>
      </c>
      <c r="E61" s="90">
        <f t="shared" si="58"/>
        <v>0</v>
      </c>
      <c r="F61" s="90">
        <f t="shared" si="58"/>
        <v>0</v>
      </c>
      <c r="G61" s="90">
        <f t="shared" si="58"/>
        <v>0</v>
      </c>
      <c r="H61" s="90">
        <f t="shared" si="58"/>
        <v>0</v>
      </c>
    </row>
    <row r="62" spans="1:8">
      <c r="A62" s="75" t="s">
        <v>12</v>
      </c>
      <c r="B62" s="214" t="e">
        <f t="shared" ref="B62:H62" si="59">B61/B60*100</f>
        <v>#DIV/0!</v>
      </c>
      <c r="C62" s="214" t="e">
        <f t="shared" si="59"/>
        <v>#DIV/0!</v>
      </c>
      <c r="D62" s="214" t="e">
        <f t="shared" si="59"/>
        <v>#DIV/0!</v>
      </c>
      <c r="E62" s="214" t="e">
        <f t="shared" si="59"/>
        <v>#DIV/0!</v>
      </c>
      <c r="F62" s="214" t="e">
        <f t="shared" si="59"/>
        <v>#DIV/0!</v>
      </c>
      <c r="G62" s="214" t="e">
        <f t="shared" si="59"/>
        <v>#DIV/0!</v>
      </c>
      <c r="H62" s="214" t="e">
        <f t="shared" si="59"/>
        <v>#DIV/0!</v>
      </c>
    </row>
    <row r="63" spans="1:8">
      <c r="A63" s="75" t="s">
        <v>23</v>
      </c>
      <c r="B63" s="90">
        <f t="shared" ref="B63:H64" si="60">K26+S26+AK26</f>
        <v>77.900000000000006</v>
      </c>
      <c r="C63" s="90">
        <f t="shared" si="60"/>
        <v>3119</v>
      </c>
      <c r="D63" s="90">
        <f t="shared" si="60"/>
        <v>2744</v>
      </c>
      <c r="E63" s="90">
        <f t="shared" si="60"/>
        <v>158</v>
      </c>
      <c r="F63" s="90">
        <f t="shared" si="60"/>
        <v>675</v>
      </c>
      <c r="G63" s="90">
        <f t="shared" si="60"/>
        <v>97</v>
      </c>
      <c r="H63" s="90">
        <f t="shared" si="60"/>
        <v>1814</v>
      </c>
    </row>
    <row r="64" spans="1:8">
      <c r="A64" s="75" t="s">
        <v>45</v>
      </c>
      <c r="B64" s="90">
        <f t="shared" si="60"/>
        <v>97</v>
      </c>
      <c r="C64" s="90">
        <f t="shared" si="60"/>
        <v>2160</v>
      </c>
      <c r="D64" s="90">
        <f t="shared" si="60"/>
        <v>1734</v>
      </c>
      <c r="E64" s="90">
        <f t="shared" si="60"/>
        <v>125</v>
      </c>
      <c r="F64" s="90">
        <f t="shared" si="60"/>
        <v>39</v>
      </c>
      <c r="G64" s="90">
        <f t="shared" si="60"/>
        <v>76</v>
      </c>
      <c r="H64" s="90">
        <f t="shared" si="60"/>
        <v>1494</v>
      </c>
    </row>
    <row r="65" spans="1:8">
      <c r="A65" s="75" t="s">
        <v>12</v>
      </c>
      <c r="B65" s="214">
        <f t="shared" ref="B65:H65" si="61">B64/B63*100</f>
        <v>124.5186136071887</v>
      </c>
      <c r="C65" s="214">
        <f t="shared" si="61"/>
        <v>69.25296569413274</v>
      </c>
      <c r="D65" s="214">
        <f t="shared" si="61"/>
        <v>63.192419825072889</v>
      </c>
      <c r="E65" s="214">
        <f t="shared" si="61"/>
        <v>79.113924050632917</v>
      </c>
      <c r="F65" s="214">
        <f t="shared" si="61"/>
        <v>5.7777777777777777</v>
      </c>
      <c r="G65" s="214">
        <f t="shared" si="61"/>
        <v>78.350515463917532</v>
      </c>
      <c r="H65" s="214">
        <f t="shared" si="61"/>
        <v>82.35942668136714</v>
      </c>
    </row>
    <row r="66" spans="1:8">
      <c r="A66" s="75" t="s">
        <v>25</v>
      </c>
      <c r="B66" s="90">
        <f t="shared" ref="B66:H67" si="62">K29+S29+AK29</f>
        <v>415.19999999999993</v>
      </c>
      <c r="C66" s="90">
        <f t="shared" si="62"/>
        <v>15295</v>
      </c>
      <c r="D66" s="90">
        <f t="shared" si="62"/>
        <v>13680</v>
      </c>
      <c r="E66" s="90">
        <f t="shared" si="62"/>
        <v>688</v>
      </c>
      <c r="F66" s="90">
        <f t="shared" si="62"/>
        <v>2240</v>
      </c>
      <c r="G66" s="90">
        <f t="shared" si="62"/>
        <v>481</v>
      </c>
      <c r="H66" s="90">
        <f t="shared" si="62"/>
        <v>10271</v>
      </c>
    </row>
    <row r="67" spans="1:8">
      <c r="A67" s="75" t="s">
        <v>46</v>
      </c>
      <c r="B67" s="90">
        <f t="shared" si="62"/>
        <v>607.20000000000005</v>
      </c>
      <c r="C67" s="90">
        <f t="shared" si="62"/>
        <v>25190</v>
      </c>
      <c r="D67" s="90">
        <f t="shared" si="62"/>
        <v>22715</v>
      </c>
      <c r="E67" s="90">
        <f t="shared" si="62"/>
        <v>2601</v>
      </c>
      <c r="F67" s="90">
        <f t="shared" si="62"/>
        <v>533</v>
      </c>
      <c r="G67" s="90">
        <f t="shared" si="62"/>
        <v>1007</v>
      </c>
      <c r="H67" s="90">
        <f t="shared" si="62"/>
        <v>18574</v>
      </c>
    </row>
    <row r="68" spans="1:8">
      <c r="A68" s="75" t="s">
        <v>12</v>
      </c>
      <c r="B68" s="214">
        <f t="shared" ref="B68:H68" si="63">B67/B66*100</f>
        <v>146.24277456647403</v>
      </c>
      <c r="C68" s="214">
        <f t="shared" si="63"/>
        <v>164.69434455704479</v>
      </c>
      <c r="D68" s="214">
        <f t="shared" si="63"/>
        <v>166.04532163742689</v>
      </c>
      <c r="E68" s="214">
        <f t="shared" si="63"/>
        <v>378.05232558139539</v>
      </c>
      <c r="F68" s="214">
        <f t="shared" si="63"/>
        <v>23.794642857142854</v>
      </c>
      <c r="G68" s="214">
        <f t="shared" si="63"/>
        <v>209.35550935550938</v>
      </c>
      <c r="H68" s="214">
        <f t="shared" si="63"/>
        <v>180.83925615811509</v>
      </c>
    </row>
    <row r="69" spans="1:8">
      <c r="A69" s="75" t="s">
        <v>27</v>
      </c>
      <c r="B69" s="90">
        <f t="shared" ref="B69:H70" si="64">K32+S32+AK32</f>
        <v>14.5</v>
      </c>
      <c r="C69" s="90">
        <f t="shared" si="64"/>
        <v>2286</v>
      </c>
      <c r="D69" s="90">
        <f t="shared" si="64"/>
        <v>2057</v>
      </c>
      <c r="E69" s="90">
        <f t="shared" si="64"/>
        <v>432</v>
      </c>
      <c r="F69" s="90">
        <f t="shared" si="64"/>
        <v>831</v>
      </c>
      <c r="G69" s="90">
        <f t="shared" si="64"/>
        <v>91</v>
      </c>
      <c r="H69" s="90">
        <f t="shared" si="64"/>
        <v>703</v>
      </c>
    </row>
    <row r="70" spans="1:8">
      <c r="A70" s="75" t="s">
        <v>47</v>
      </c>
      <c r="B70" s="90">
        <f t="shared" si="64"/>
        <v>0</v>
      </c>
      <c r="C70" s="90">
        <f t="shared" si="64"/>
        <v>0</v>
      </c>
      <c r="D70" s="90">
        <f t="shared" si="64"/>
        <v>0</v>
      </c>
      <c r="E70" s="90">
        <f t="shared" si="64"/>
        <v>0</v>
      </c>
      <c r="F70" s="90">
        <f t="shared" si="64"/>
        <v>0</v>
      </c>
      <c r="G70" s="90">
        <f t="shared" si="64"/>
        <v>0</v>
      </c>
      <c r="H70" s="90">
        <f t="shared" si="64"/>
        <v>0</v>
      </c>
    </row>
    <row r="71" spans="1:8">
      <c r="A71" s="75" t="s">
        <v>12</v>
      </c>
      <c r="B71" s="214">
        <f t="shared" ref="B71:H71" si="65">B70/B69*100</f>
        <v>0</v>
      </c>
      <c r="C71" s="214">
        <f t="shared" si="65"/>
        <v>0</v>
      </c>
      <c r="D71" s="214">
        <f t="shared" si="65"/>
        <v>0</v>
      </c>
      <c r="E71" s="214">
        <f t="shared" si="65"/>
        <v>0</v>
      </c>
      <c r="F71" s="214">
        <f t="shared" si="65"/>
        <v>0</v>
      </c>
      <c r="G71" s="214">
        <f t="shared" si="65"/>
        <v>0</v>
      </c>
      <c r="H71" s="214">
        <f t="shared" si="65"/>
        <v>0</v>
      </c>
    </row>
    <row r="72" spans="1:8">
      <c r="A72" s="75" t="s">
        <v>29</v>
      </c>
      <c r="B72" s="90">
        <f t="shared" ref="B72:H73" si="66">K35+S35+AK35</f>
        <v>121.30000000000001</v>
      </c>
      <c r="C72" s="90">
        <f t="shared" si="66"/>
        <v>11792</v>
      </c>
      <c r="D72" s="90">
        <f t="shared" si="66"/>
        <v>10029</v>
      </c>
      <c r="E72" s="90">
        <f t="shared" si="66"/>
        <v>66</v>
      </c>
      <c r="F72" s="90">
        <f t="shared" si="66"/>
        <v>2890</v>
      </c>
      <c r="G72" s="90">
        <f t="shared" si="66"/>
        <v>606</v>
      </c>
      <c r="H72" s="90">
        <f t="shared" si="66"/>
        <v>6467</v>
      </c>
    </row>
    <row r="73" spans="1:8">
      <c r="A73" s="75" t="s">
        <v>48</v>
      </c>
      <c r="B73" s="90">
        <f t="shared" si="66"/>
        <v>42.3</v>
      </c>
      <c r="C73" s="90">
        <f t="shared" si="66"/>
        <v>4420</v>
      </c>
      <c r="D73" s="90">
        <f t="shared" si="66"/>
        <v>3776</v>
      </c>
      <c r="E73" s="90">
        <f t="shared" si="66"/>
        <v>21</v>
      </c>
      <c r="F73" s="90">
        <f t="shared" si="66"/>
        <v>576</v>
      </c>
      <c r="G73" s="90">
        <f t="shared" si="66"/>
        <v>357</v>
      </c>
      <c r="H73" s="90">
        <f t="shared" si="66"/>
        <v>2822</v>
      </c>
    </row>
    <row r="74" spans="1:8">
      <c r="A74" s="75" t="s">
        <v>12</v>
      </c>
      <c r="B74" s="214">
        <f t="shared" ref="B74:H74" si="67">B73/B72*100</f>
        <v>34.872217642209392</v>
      </c>
      <c r="C74" s="214">
        <f t="shared" si="67"/>
        <v>37.483039348710989</v>
      </c>
      <c r="D74" s="214">
        <f t="shared" si="67"/>
        <v>37.650812643334334</v>
      </c>
      <c r="E74" s="214">
        <f t="shared" si="67"/>
        <v>31.818181818181817</v>
      </c>
      <c r="F74" s="214">
        <f t="shared" si="67"/>
        <v>19.930795847750865</v>
      </c>
      <c r="G74" s="214">
        <f t="shared" si="67"/>
        <v>58.910891089108908</v>
      </c>
      <c r="H74" s="214">
        <f t="shared" si="67"/>
        <v>43.63692593165301</v>
      </c>
    </row>
    <row r="75" spans="1:8">
      <c r="A75" s="75" t="s">
        <v>31</v>
      </c>
      <c r="B75" s="90">
        <f t="shared" ref="B75:H76" si="68">K38+S38+AK38</f>
        <v>340.3</v>
      </c>
      <c r="C75" s="90">
        <f t="shared" si="68"/>
        <v>18293</v>
      </c>
      <c r="D75" s="90">
        <f t="shared" si="68"/>
        <v>15513</v>
      </c>
      <c r="E75" s="90">
        <f t="shared" si="68"/>
        <v>2726</v>
      </c>
      <c r="F75" s="90">
        <f t="shared" si="68"/>
        <v>4101</v>
      </c>
      <c r="G75" s="90">
        <f t="shared" si="68"/>
        <v>613</v>
      </c>
      <c r="H75" s="90">
        <f t="shared" si="68"/>
        <v>8073</v>
      </c>
    </row>
    <row r="76" spans="1:8">
      <c r="A76" s="75" t="s">
        <v>52</v>
      </c>
      <c r="B76" s="90">
        <f t="shared" si="68"/>
        <v>316.5</v>
      </c>
      <c r="C76" s="90">
        <f t="shared" si="68"/>
        <v>19290</v>
      </c>
      <c r="D76" s="90">
        <f t="shared" si="68"/>
        <v>15651</v>
      </c>
      <c r="E76" s="90">
        <f t="shared" si="68"/>
        <v>1789</v>
      </c>
      <c r="F76" s="90">
        <f t="shared" si="68"/>
        <v>2152</v>
      </c>
      <c r="G76" s="90">
        <f t="shared" si="68"/>
        <v>832</v>
      </c>
      <c r="H76" s="90">
        <f t="shared" si="68"/>
        <v>10878</v>
      </c>
    </row>
    <row r="77" spans="1:8">
      <c r="A77" s="75" t="s">
        <v>12</v>
      </c>
      <c r="B77" s="214">
        <f t="shared" ref="B77:H77" si="69">B76/B75*100</f>
        <v>93.006171025565678</v>
      </c>
      <c r="C77" s="214">
        <f t="shared" si="69"/>
        <v>105.45017219701525</v>
      </c>
      <c r="D77" s="214">
        <f t="shared" si="69"/>
        <v>100.88957648423902</v>
      </c>
      <c r="E77" s="214">
        <f t="shared" si="69"/>
        <v>65.627292736610414</v>
      </c>
      <c r="F77" s="214">
        <f t="shared" si="69"/>
        <v>52.475006096074125</v>
      </c>
      <c r="G77" s="214">
        <f t="shared" si="69"/>
        <v>135.72593800978794</v>
      </c>
      <c r="H77" s="214">
        <f t="shared" si="69"/>
        <v>134.74544778892604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7" t="s">
        <v>17</v>
      </c>
      <c r="B82" s="207"/>
      <c r="C82" s="208"/>
      <c r="D82" s="207"/>
      <c r="E82" s="207"/>
      <c r="F82" s="207"/>
      <c r="G82" s="207"/>
      <c r="H82" s="209"/>
    </row>
    <row r="83" spans="1:8">
      <c r="A83" s="75" t="s">
        <v>40</v>
      </c>
      <c r="B83" s="210">
        <f t="shared" ref="B83:H98" si="70">B9-B46</f>
        <v>0</v>
      </c>
      <c r="C83" s="210">
        <f t="shared" si="70"/>
        <v>0</v>
      </c>
      <c r="D83" s="210">
        <f t="shared" si="70"/>
        <v>0</v>
      </c>
      <c r="E83" s="210">
        <f t="shared" si="70"/>
        <v>0</v>
      </c>
      <c r="F83" s="210">
        <f t="shared" si="70"/>
        <v>0</v>
      </c>
      <c r="G83" s="210">
        <f t="shared" si="70"/>
        <v>0</v>
      </c>
      <c r="H83" s="210">
        <f t="shared" si="70"/>
        <v>0</v>
      </c>
    </row>
    <row r="84" spans="1:8">
      <c r="A84" s="211" t="s">
        <v>50</v>
      </c>
      <c r="B84" s="210">
        <f t="shared" si="70"/>
        <v>0</v>
      </c>
      <c r="C84" s="210">
        <f t="shared" si="70"/>
        <v>0</v>
      </c>
      <c r="D84" s="210">
        <f t="shared" si="70"/>
        <v>0</v>
      </c>
      <c r="E84" s="210">
        <f t="shared" si="70"/>
        <v>0</v>
      </c>
      <c r="F84" s="210">
        <f t="shared" si="70"/>
        <v>0</v>
      </c>
      <c r="G84" s="210">
        <f t="shared" si="70"/>
        <v>0</v>
      </c>
      <c r="H84" s="210">
        <f t="shared" si="70"/>
        <v>0</v>
      </c>
    </row>
    <row r="85" spans="1:8">
      <c r="A85" s="212" t="s">
        <v>44</v>
      </c>
      <c r="B85" s="210">
        <f t="shared" si="70"/>
        <v>0</v>
      </c>
      <c r="C85" s="210">
        <f t="shared" si="70"/>
        <v>0</v>
      </c>
      <c r="D85" s="210">
        <f t="shared" si="70"/>
        <v>0</v>
      </c>
      <c r="E85" s="210">
        <f t="shared" si="70"/>
        <v>0</v>
      </c>
      <c r="F85" s="210">
        <f t="shared" si="70"/>
        <v>0</v>
      </c>
      <c r="G85" s="210">
        <f t="shared" si="70"/>
        <v>0</v>
      </c>
      <c r="H85" s="210">
        <f t="shared" si="70"/>
        <v>0</v>
      </c>
    </row>
    <row r="86" spans="1:8">
      <c r="A86" s="87" t="s">
        <v>11</v>
      </c>
      <c r="B86" s="210">
        <f t="shared" si="70"/>
        <v>0</v>
      </c>
      <c r="C86" s="210">
        <f t="shared" si="70"/>
        <v>0</v>
      </c>
      <c r="D86" s="210">
        <f t="shared" si="70"/>
        <v>0</v>
      </c>
      <c r="E86" s="210">
        <f t="shared" si="70"/>
        <v>0</v>
      </c>
      <c r="F86" s="210">
        <f t="shared" si="70"/>
        <v>0</v>
      </c>
      <c r="G86" s="210">
        <f t="shared" si="70"/>
        <v>0</v>
      </c>
      <c r="H86" s="210">
        <f t="shared" si="70"/>
        <v>0</v>
      </c>
    </row>
    <row r="87" spans="1:8">
      <c r="A87" s="75" t="s">
        <v>40</v>
      </c>
      <c r="B87" s="210">
        <f t="shared" si="70"/>
        <v>0</v>
      </c>
      <c r="C87" s="210">
        <f t="shared" si="70"/>
        <v>0</v>
      </c>
      <c r="D87" s="210">
        <f t="shared" si="70"/>
        <v>0</v>
      </c>
      <c r="E87" s="210">
        <f t="shared" si="70"/>
        <v>0</v>
      </c>
      <c r="F87" s="210">
        <f t="shared" si="70"/>
        <v>0</v>
      </c>
      <c r="G87" s="210">
        <f t="shared" si="70"/>
        <v>0</v>
      </c>
      <c r="H87" s="210">
        <f t="shared" si="70"/>
        <v>0</v>
      </c>
    </row>
    <row r="88" spans="1:8">
      <c r="A88" s="75" t="s">
        <v>50</v>
      </c>
      <c r="B88" s="210">
        <f t="shared" si="70"/>
        <v>0</v>
      </c>
      <c r="C88" s="210">
        <f t="shared" si="70"/>
        <v>0</v>
      </c>
      <c r="D88" s="210">
        <f t="shared" si="70"/>
        <v>0</v>
      </c>
      <c r="E88" s="210">
        <f t="shared" si="70"/>
        <v>0</v>
      </c>
      <c r="F88" s="210">
        <f t="shared" si="70"/>
        <v>0</v>
      </c>
      <c r="G88" s="210">
        <f t="shared" si="70"/>
        <v>0</v>
      </c>
      <c r="H88" s="210">
        <f t="shared" si="70"/>
        <v>0</v>
      </c>
    </row>
    <row r="89" spans="1:8">
      <c r="A89" s="75" t="s">
        <v>44</v>
      </c>
      <c r="B89" s="210">
        <f t="shared" si="70"/>
        <v>0</v>
      </c>
      <c r="C89" s="210">
        <f t="shared" si="70"/>
        <v>0</v>
      </c>
      <c r="D89" s="210">
        <f t="shared" si="70"/>
        <v>0</v>
      </c>
      <c r="E89" s="210">
        <f t="shared" si="70"/>
        <v>0</v>
      </c>
      <c r="F89" s="210">
        <f t="shared" si="70"/>
        <v>0</v>
      </c>
      <c r="G89" s="210">
        <f t="shared" si="70"/>
        <v>0</v>
      </c>
      <c r="H89" s="210">
        <f t="shared" si="70"/>
        <v>0</v>
      </c>
    </row>
    <row r="90" spans="1:8">
      <c r="A90" s="75" t="s">
        <v>13</v>
      </c>
      <c r="B90" s="210">
        <f t="shared" si="70"/>
        <v>0</v>
      </c>
      <c r="C90" s="210">
        <f t="shared" si="70"/>
        <v>0</v>
      </c>
      <c r="D90" s="210">
        <f t="shared" si="70"/>
        <v>0</v>
      </c>
      <c r="E90" s="210">
        <f t="shared" si="70"/>
        <v>0</v>
      </c>
      <c r="F90" s="210">
        <f t="shared" si="70"/>
        <v>0</v>
      </c>
      <c r="G90" s="210">
        <f t="shared" si="70"/>
        <v>0</v>
      </c>
      <c r="H90" s="210">
        <f t="shared" si="70"/>
        <v>0</v>
      </c>
    </row>
    <row r="91" spans="1:8">
      <c r="A91" s="92" t="s">
        <v>14</v>
      </c>
      <c r="B91" s="210">
        <f t="shared" si="70"/>
        <v>0</v>
      </c>
      <c r="C91" s="210">
        <f t="shared" si="70"/>
        <v>0</v>
      </c>
      <c r="D91" s="210">
        <f t="shared" si="70"/>
        <v>0</v>
      </c>
      <c r="E91" s="210">
        <f t="shared" si="70"/>
        <v>0</v>
      </c>
      <c r="F91" s="210">
        <f t="shared" si="70"/>
        <v>0</v>
      </c>
      <c r="G91" s="210">
        <f t="shared" si="70"/>
        <v>0</v>
      </c>
      <c r="H91" s="210">
        <f t="shared" si="70"/>
        <v>0</v>
      </c>
    </row>
    <row r="92" spans="1:8">
      <c r="A92" s="75" t="s">
        <v>15</v>
      </c>
      <c r="B92" s="210">
        <f t="shared" si="70"/>
        <v>0</v>
      </c>
      <c r="C92" s="210">
        <f t="shared" si="70"/>
        <v>0</v>
      </c>
      <c r="D92" s="210">
        <f t="shared" si="70"/>
        <v>0</v>
      </c>
      <c r="E92" s="210">
        <f t="shared" si="70"/>
        <v>0</v>
      </c>
      <c r="F92" s="210">
        <f t="shared" si="70"/>
        <v>0</v>
      </c>
      <c r="G92" s="210">
        <f t="shared" si="70"/>
        <v>0</v>
      </c>
      <c r="H92" s="210">
        <f t="shared" si="70"/>
        <v>0</v>
      </c>
    </row>
    <row r="93" spans="1:8">
      <c r="A93" s="87" t="s">
        <v>16</v>
      </c>
      <c r="B93" s="210">
        <f t="shared" si="70"/>
        <v>0</v>
      </c>
      <c r="C93" s="210">
        <f t="shared" si="70"/>
        <v>0</v>
      </c>
      <c r="D93" s="210">
        <f t="shared" si="70"/>
        <v>0</v>
      </c>
      <c r="E93" s="210">
        <f t="shared" si="70"/>
        <v>0</v>
      </c>
      <c r="F93" s="210">
        <f t="shared" si="70"/>
        <v>0</v>
      </c>
      <c r="G93" s="210">
        <f t="shared" si="70"/>
        <v>0</v>
      </c>
      <c r="H93" s="210">
        <f t="shared" si="70"/>
        <v>0</v>
      </c>
    </row>
    <row r="94" spans="1:8">
      <c r="A94" s="75" t="s">
        <v>40</v>
      </c>
      <c r="B94" s="210">
        <f t="shared" si="70"/>
        <v>0</v>
      </c>
      <c r="C94" s="210">
        <f t="shared" si="70"/>
        <v>0</v>
      </c>
      <c r="D94" s="210">
        <f t="shared" si="70"/>
        <v>0</v>
      </c>
      <c r="E94" s="210">
        <f t="shared" si="70"/>
        <v>0</v>
      </c>
      <c r="F94" s="210">
        <f t="shared" si="70"/>
        <v>0</v>
      </c>
      <c r="G94" s="210">
        <f t="shared" si="70"/>
        <v>0</v>
      </c>
      <c r="H94" s="210">
        <f t="shared" si="70"/>
        <v>0</v>
      </c>
    </row>
    <row r="95" spans="1:8">
      <c r="A95" s="92" t="s">
        <v>50</v>
      </c>
      <c r="B95" s="210">
        <f t="shared" si="70"/>
        <v>0</v>
      </c>
      <c r="C95" s="210">
        <f t="shared" si="70"/>
        <v>0</v>
      </c>
      <c r="D95" s="210">
        <f t="shared" si="70"/>
        <v>0</v>
      </c>
      <c r="E95" s="210">
        <f t="shared" si="70"/>
        <v>0</v>
      </c>
      <c r="F95" s="210">
        <f t="shared" si="70"/>
        <v>0</v>
      </c>
      <c r="G95" s="210">
        <f t="shared" si="70"/>
        <v>0</v>
      </c>
      <c r="H95" s="210">
        <f t="shared" si="70"/>
        <v>0</v>
      </c>
    </row>
    <row r="96" spans="1:8">
      <c r="A96" s="75" t="s">
        <v>44</v>
      </c>
      <c r="B96" s="210">
        <f t="shared" si="70"/>
        <v>0</v>
      </c>
      <c r="C96" s="210">
        <f t="shared" si="70"/>
        <v>0</v>
      </c>
      <c r="D96" s="210">
        <f t="shared" si="70"/>
        <v>0</v>
      </c>
      <c r="E96" s="210">
        <f t="shared" si="70"/>
        <v>0</v>
      </c>
      <c r="F96" s="210">
        <f t="shared" si="70"/>
        <v>0</v>
      </c>
      <c r="G96" s="210">
        <f t="shared" si="70"/>
        <v>0</v>
      </c>
      <c r="H96" s="210">
        <f t="shared" si="70"/>
        <v>0</v>
      </c>
    </row>
    <row r="97" spans="1:8">
      <c r="A97" s="75" t="s">
        <v>21</v>
      </c>
      <c r="B97" s="210">
        <f t="shared" si="70"/>
        <v>0</v>
      </c>
      <c r="C97" s="210">
        <f t="shared" si="70"/>
        <v>0</v>
      </c>
      <c r="D97" s="210">
        <f t="shared" si="70"/>
        <v>0</v>
      </c>
      <c r="E97" s="210">
        <f t="shared" si="70"/>
        <v>0</v>
      </c>
      <c r="F97" s="210">
        <f t="shared" si="70"/>
        <v>0</v>
      </c>
      <c r="G97" s="210">
        <f t="shared" si="70"/>
        <v>0</v>
      </c>
      <c r="H97" s="210">
        <f t="shared" si="70"/>
        <v>0</v>
      </c>
    </row>
    <row r="98" spans="1:8">
      <c r="A98" s="75" t="s">
        <v>51</v>
      </c>
      <c r="B98" s="210">
        <f t="shared" si="70"/>
        <v>0</v>
      </c>
      <c r="C98" s="210">
        <f t="shared" si="70"/>
        <v>0</v>
      </c>
      <c r="D98" s="210">
        <f t="shared" si="70"/>
        <v>0</v>
      </c>
      <c r="E98" s="210">
        <f t="shared" si="70"/>
        <v>0</v>
      </c>
      <c r="F98" s="210">
        <f t="shared" si="70"/>
        <v>0</v>
      </c>
      <c r="G98" s="210">
        <f t="shared" si="70"/>
        <v>0</v>
      </c>
      <c r="H98" s="210">
        <f t="shared" si="70"/>
        <v>0</v>
      </c>
    </row>
    <row r="99" spans="1:8">
      <c r="A99" s="75" t="s">
        <v>12</v>
      </c>
      <c r="B99" s="210" t="e">
        <f t="shared" ref="B99:H114" si="71">B25-B62</f>
        <v>#DIV/0!</v>
      </c>
      <c r="C99" s="210" t="e">
        <f t="shared" si="71"/>
        <v>#DIV/0!</v>
      </c>
      <c r="D99" s="210" t="e">
        <f t="shared" si="71"/>
        <v>#DIV/0!</v>
      </c>
      <c r="E99" s="210" t="e">
        <f t="shared" si="71"/>
        <v>#DIV/0!</v>
      </c>
      <c r="F99" s="210" t="e">
        <f t="shared" si="71"/>
        <v>#DIV/0!</v>
      </c>
      <c r="G99" s="210" t="e">
        <f t="shared" si="71"/>
        <v>#DIV/0!</v>
      </c>
      <c r="H99" s="210" t="e">
        <f t="shared" si="71"/>
        <v>#DIV/0!</v>
      </c>
    </row>
    <row r="100" spans="1:8">
      <c r="A100" s="75" t="s">
        <v>23</v>
      </c>
      <c r="B100" s="210">
        <f t="shared" si="71"/>
        <v>0</v>
      </c>
      <c r="C100" s="210">
        <f t="shared" si="71"/>
        <v>0</v>
      </c>
      <c r="D100" s="210">
        <f t="shared" si="71"/>
        <v>0</v>
      </c>
      <c r="E100" s="210">
        <f t="shared" si="71"/>
        <v>0</v>
      </c>
      <c r="F100" s="210">
        <f t="shared" si="71"/>
        <v>0</v>
      </c>
      <c r="G100" s="210">
        <f t="shared" si="71"/>
        <v>0</v>
      </c>
      <c r="H100" s="210">
        <f t="shared" si="71"/>
        <v>0</v>
      </c>
    </row>
    <row r="101" spans="1:8">
      <c r="A101" s="75" t="s">
        <v>45</v>
      </c>
      <c r="B101" s="210">
        <f t="shared" si="71"/>
        <v>0</v>
      </c>
      <c r="C101" s="210">
        <f t="shared" si="71"/>
        <v>0</v>
      </c>
      <c r="D101" s="210">
        <f t="shared" si="71"/>
        <v>0</v>
      </c>
      <c r="E101" s="210">
        <f t="shared" si="71"/>
        <v>0</v>
      </c>
      <c r="F101" s="210">
        <f t="shared" si="71"/>
        <v>0</v>
      </c>
      <c r="G101" s="210">
        <f t="shared" si="71"/>
        <v>0</v>
      </c>
      <c r="H101" s="210">
        <f t="shared" si="71"/>
        <v>0</v>
      </c>
    </row>
    <row r="102" spans="1:8">
      <c r="A102" s="75" t="s">
        <v>12</v>
      </c>
      <c r="B102" s="210">
        <f t="shared" si="71"/>
        <v>0</v>
      </c>
      <c r="C102" s="210">
        <f t="shared" si="71"/>
        <v>0</v>
      </c>
      <c r="D102" s="210">
        <f t="shared" si="71"/>
        <v>0</v>
      </c>
      <c r="E102" s="210">
        <f t="shared" si="71"/>
        <v>0</v>
      </c>
      <c r="F102" s="210">
        <f t="shared" si="71"/>
        <v>0</v>
      </c>
      <c r="G102" s="210">
        <f t="shared" si="71"/>
        <v>0</v>
      </c>
      <c r="H102" s="210">
        <f t="shared" si="71"/>
        <v>0</v>
      </c>
    </row>
    <row r="103" spans="1:8">
      <c r="A103" s="75" t="s">
        <v>25</v>
      </c>
      <c r="B103" s="210">
        <f t="shared" si="71"/>
        <v>0</v>
      </c>
      <c r="C103" s="210">
        <f t="shared" si="71"/>
        <v>0</v>
      </c>
      <c r="D103" s="210">
        <f t="shared" si="71"/>
        <v>0</v>
      </c>
      <c r="E103" s="210">
        <f t="shared" si="71"/>
        <v>0</v>
      </c>
      <c r="F103" s="210">
        <f t="shared" si="71"/>
        <v>0</v>
      </c>
      <c r="G103" s="210">
        <f t="shared" si="71"/>
        <v>0</v>
      </c>
      <c r="H103" s="210">
        <f t="shared" si="71"/>
        <v>0</v>
      </c>
    </row>
    <row r="104" spans="1:8">
      <c r="A104" s="75" t="s">
        <v>46</v>
      </c>
      <c r="B104" s="210">
        <f t="shared" si="71"/>
        <v>0</v>
      </c>
      <c r="C104" s="210">
        <f t="shared" si="71"/>
        <v>0</v>
      </c>
      <c r="D104" s="210">
        <f t="shared" si="71"/>
        <v>0</v>
      </c>
      <c r="E104" s="210">
        <f t="shared" si="71"/>
        <v>0</v>
      </c>
      <c r="F104" s="210">
        <f t="shared" si="71"/>
        <v>0</v>
      </c>
      <c r="G104" s="210">
        <f t="shared" si="71"/>
        <v>0</v>
      </c>
      <c r="H104" s="210">
        <f t="shared" si="71"/>
        <v>0</v>
      </c>
    </row>
    <row r="105" spans="1:8">
      <c r="A105" s="75" t="s">
        <v>12</v>
      </c>
      <c r="B105" s="210">
        <f t="shared" si="71"/>
        <v>0</v>
      </c>
      <c r="C105" s="210">
        <f t="shared" si="71"/>
        <v>0</v>
      </c>
      <c r="D105" s="210">
        <f t="shared" si="71"/>
        <v>0</v>
      </c>
      <c r="E105" s="210">
        <f t="shared" si="71"/>
        <v>0</v>
      </c>
      <c r="F105" s="210">
        <f t="shared" si="71"/>
        <v>0</v>
      </c>
      <c r="G105" s="210">
        <f t="shared" si="71"/>
        <v>0</v>
      </c>
      <c r="H105" s="210">
        <f t="shared" si="71"/>
        <v>0</v>
      </c>
    </row>
    <row r="106" spans="1:8">
      <c r="A106" s="75" t="s">
        <v>27</v>
      </c>
      <c r="B106" s="210">
        <f t="shared" si="71"/>
        <v>0</v>
      </c>
      <c r="C106" s="210">
        <f t="shared" si="71"/>
        <v>0</v>
      </c>
      <c r="D106" s="210">
        <f t="shared" si="71"/>
        <v>0</v>
      </c>
      <c r="E106" s="210">
        <f t="shared" si="71"/>
        <v>0</v>
      </c>
      <c r="F106" s="210">
        <f t="shared" si="71"/>
        <v>0</v>
      </c>
      <c r="G106" s="210">
        <f t="shared" si="71"/>
        <v>0</v>
      </c>
      <c r="H106" s="210">
        <f t="shared" si="71"/>
        <v>0</v>
      </c>
    </row>
    <row r="107" spans="1:8">
      <c r="A107" s="75" t="s">
        <v>47</v>
      </c>
      <c r="B107" s="210">
        <f t="shared" si="71"/>
        <v>0</v>
      </c>
      <c r="C107" s="210">
        <f t="shared" si="71"/>
        <v>0</v>
      </c>
      <c r="D107" s="210">
        <f t="shared" si="71"/>
        <v>0</v>
      </c>
      <c r="E107" s="210">
        <f t="shared" si="71"/>
        <v>0</v>
      </c>
      <c r="F107" s="210">
        <f t="shared" si="71"/>
        <v>0</v>
      </c>
      <c r="G107" s="210">
        <f t="shared" si="71"/>
        <v>0</v>
      </c>
      <c r="H107" s="210">
        <f t="shared" si="71"/>
        <v>0</v>
      </c>
    </row>
    <row r="108" spans="1:8">
      <c r="A108" s="75" t="s">
        <v>12</v>
      </c>
      <c r="B108" s="210">
        <f t="shared" si="71"/>
        <v>0</v>
      </c>
      <c r="C108" s="210">
        <f t="shared" si="71"/>
        <v>0</v>
      </c>
      <c r="D108" s="210">
        <f t="shared" si="71"/>
        <v>0</v>
      </c>
      <c r="E108" s="210">
        <f t="shared" si="71"/>
        <v>0</v>
      </c>
      <c r="F108" s="210">
        <f t="shared" si="71"/>
        <v>0</v>
      </c>
      <c r="G108" s="210">
        <f t="shared" si="71"/>
        <v>0</v>
      </c>
      <c r="H108" s="210">
        <f t="shared" si="71"/>
        <v>0</v>
      </c>
    </row>
    <row r="109" spans="1:8">
      <c r="A109" s="75" t="s">
        <v>29</v>
      </c>
      <c r="B109" s="210">
        <f t="shared" si="71"/>
        <v>0</v>
      </c>
      <c r="C109" s="210">
        <f t="shared" si="71"/>
        <v>0</v>
      </c>
      <c r="D109" s="210">
        <f t="shared" si="71"/>
        <v>0</v>
      </c>
      <c r="E109" s="210">
        <f t="shared" si="71"/>
        <v>0</v>
      </c>
      <c r="F109" s="210">
        <f t="shared" si="71"/>
        <v>0</v>
      </c>
      <c r="G109" s="210">
        <f t="shared" si="71"/>
        <v>0</v>
      </c>
      <c r="H109" s="210">
        <f t="shared" si="71"/>
        <v>0</v>
      </c>
    </row>
    <row r="110" spans="1:8">
      <c r="A110" s="75" t="s">
        <v>48</v>
      </c>
      <c r="B110" s="210">
        <f t="shared" si="71"/>
        <v>0</v>
      </c>
      <c r="C110" s="210">
        <f t="shared" si="71"/>
        <v>0</v>
      </c>
      <c r="D110" s="210">
        <f t="shared" si="71"/>
        <v>0</v>
      </c>
      <c r="E110" s="210">
        <f t="shared" si="71"/>
        <v>0</v>
      </c>
      <c r="F110" s="210">
        <f t="shared" si="71"/>
        <v>0</v>
      </c>
      <c r="G110" s="210">
        <f t="shared" si="71"/>
        <v>0</v>
      </c>
      <c r="H110" s="210">
        <f t="shared" si="71"/>
        <v>0</v>
      </c>
    </row>
    <row r="111" spans="1:8">
      <c r="A111" s="75" t="s">
        <v>12</v>
      </c>
      <c r="B111" s="210">
        <f t="shared" si="71"/>
        <v>0</v>
      </c>
      <c r="C111" s="210">
        <f t="shared" si="71"/>
        <v>0</v>
      </c>
      <c r="D111" s="210">
        <f t="shared" si="71"/>
        <v>0</v>
      </c>
      <c r="E111" s="210">
        <f t="shared" si="71"/>
        <v>0</v>
      </c>
      <c r="F111" s="210">
        <f t="shared" si="71"/>
        <v>0</v>
      </c>
      <c r="G111" s="210">
        <f t="shared" si="71"/>
        <v>0</v>
      </c>
      <c r="H111" s="210">
        <f t="shared" si="71"/>
        <v>0</v>
      </c>
    </row>
    <row r="112" spans="1:8">
      <c r="A112" s="75" t="s">
        <v>31</v>
      </c>
      <c r="B112" s="210">
        <f t="shared" si="71"/>
        <v>0</v>
      </c>
      <c r="C112" s="210">
        <f t="shared" si="71"/>
        <v>0</v>
      </c>
      <c r="D112" s="210">
        <f t="shared" si="71"/>
        <v>0</v>
      </c>
      <c r="E112" s="210">
        <f t="shared" si="71"/>
        <v>0</v>
      </c>
      <c r="F112" s="210">
        <f t="shared" si="71"/>
        <v>0</v>
      </c>
      <c r="G112" s="210">
        <f t="shared" si="71"/>
        <v>0</v>
      </c>
      <c r="H112" s="210">
        <f t="shared" si="71"/>
        <v>0</v>
      </c>
    </row>
    <row r="113" spans="1:8">
      <c r="A113" s="75" t="s">
        <v>52</v>
      </c>
      <c r="B113" s="210">
        <f t="shared" si="71"/>
        <v>0</v>
      </c>
      <c r="C113" s="210">
        <f t="shared" si="71"/>
        <v>0</v>
      </c>
      <c r="D113" s="210">
        <f t="shared" si="71"/>
        <v>0</v>
      </c>
      <c r="E113" s="210">
        <f t="shared" si="71"/>
        <v>0</v>
      </c>
      <c r="F113" s="210">
        <f t="shared" si="71"/>
        <v>0</v>
      </c>
      <c r="G113" s="210">
        <f t="shared" si="71"/>
        <v>0</v>
      </c>
      <c r="H113" s="210">
        <f t="shared" si="71"/>
        <v>0</v>
      </c>
    </row>
    <row r="114" spans="1:8">
      <c r="A114" s="75" t="s">
        <v>12</v>
      </c>
      <c r="B114" s="210">
        <f t="shared" si="71"/>
        <v>0</v>
      </c>
      <c r="C114" s="210">
        <f t="shared" si="71"/>
        <v>0</v>
      </c>
      <c r="D114" s="210">
        <f t="shared" si="71"/>
        <v>0</v>
      </c>
      <c r="E114" s="210">
        <f t="shared" si="71"/>
        <v>0</v>
      </c>
      <c r="F114" s="210">
        <f t="shared" si="71"/>
        <v>0</v>
      </c>
      <c r="G114" s="210">
        <f t="shared" si="71"/>
        <v>0</v>
      </c>
      <c r="H114" s="210">
        <f t="shared" si="71"/>
        <v>0</v>
      </c>
    </row>
  </sheetData>
  <mergeCells count="18"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E2:H2"/>
    <mergeCell ref="AJ19:AQ19"/>
    <mergeCell ref="A19:H19"/>
    <mergeCell ref="J19:Q19"/>
    <mergeCell ref="R19:Y19"/>
    <mergeCell ref="AA19:AH19"/>
  </mergeCells>
  <phoneticPr fontId="17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8"/>
  <dimension ref="A1:AR114"/>
  <sheetViews>
    <sheetView tabSelected="1" zoomScale="70" zoomScaleNormal="70" workbookViewId="0">
      <selection activeCell="A9" sqref="A9:AQ40"/>
    </sheetView>
  </sheetViews>
  <sheetFormatPr defaultRowHeight="13.2"/>
  <cols>
    <col min="1" max="1" width="15.21875" customWidth="1"/>
    <col min="2" max="2" width="8.33203125" customWidth="1"/>
    <col min="3" max="3" width="8" customWidth="1"/>
    <col min="5" max="5" width="6.6640625" customWidth="1"/>
    <col min="6" max="6" width="7.109375" customWidth="1"/>
    <col min="7" max="7" width="8" customWidth="1"/>
    <col min="8" max="8" width="7.33203125" customWidth="1"/>
    <col min="9" max="9" width="5.33203125" customWidth="1"/>
    <col min="10" max="10" width="14.109375" customWidth="1"/>
    <col min="11" max="11" width="7.109375" customWidth="1"/>
    <col min="12" max="12" width="8.33203125" customWidth="1"/>
    <col min="14" max="14" width="6.33203125" customWidth="1"/>
    <col min="15" max="15" width="7.6640625" customWidth="1"/>
    <col min="16" max="16" width="7.88671875" customWidth="1"/>
    <col min="17" max="17" width="6.6640625" customWidth="1"/>
    <col min="18" max="18" width="14.88671875" customWidth="1"/>
    <col min="19" max="19" width="7.33203125" customWidth="1"/>
    <col min="20" max="20" width="7.88671875" customWidth="1"/>
    <col min="22" max="22" width="7.109375" customWidth="1"/>
    <col min="23" max="23" width="7.88671875" customWidth="1"/>
    <col min="24" max="24" width="8.109375" customWidth="1"/>
    <col min="25" max="25" width="7.33203125" customWidth="1"/>
    <col min="26" max="26" width="5.109375" customWidth="1"/>
    <col min="27" max="27" width="14.33203125" customWidth="1"/>
    <col min="28" max="28" width="7.6640625" customWidth="1"/>
    <col min="29" max="29" width="8.33203125" customWidth="1"/>
    <col min="31" max="31" width="7.5546875" customWidth="1"/>
    <col min="32" max="32" width="8" customWidth="1"/>
    <col min="33" max="33" width="7.33203125" customWidth="1"/>
    <col min="34" max="34" width="7" customWidth="1"/>
    <col min="36" max="36" width="11.5546875" customWidth="1"/>
  </cols>
  <sheetData>
    <row r="1" spans="1:44" s="37" customFormat="1" ht="15.6">
      <c r="Q1" s="38" t="s">
        <v>33</v>
      </c>
    </row>
    <row r="2" spans="1:44" s="12" customFormat="1" ht="15.75" customHeight="1">
      <c r="H2" s="39" t="s">
        <v>34</v>
      </c>
      <c r="I2" s="39"/>
    </row>
    <row r="3" spans="1:44" s="12" customFormat="1" ht="18.75" customHeight="1">
      <c r="B3" s="12" t="s">
        <v>91</v>
      </c>
      <c r="C3"/>
      <c r="D3"/>
      <c r="E3"/>
      <c r="F3"/>
      <c r="G3"/>
      <c r="H3"/>
      <c r="I3"/>
    </row>
    <row r="4" spans="1:44" s="37" customFormat="1" ht="36" customHeight="1">
      <c r="A4" s="494" t="s">
        <v>92</v>
      </c>
      <c r="B4" s="494"/>
      <c r="C4" s="494"/>
      <c r="D4" s="494"/>
      <c r="E4" s="494"/>
      <c r="F4" s="494"/>
      <c r="G4" s="494"/>
      <c r="H4" s="494"/>
      <c r="I4" s="223"/>
      <c r="J4" s="40"/>
      <c r="K4" s="40"/>
      <c r="L4" s="12"/>
      <c r="M4" s="12"/>
      <c r="N4" s="12"/>
      <c r="O4" s="12"/>
      <c r="P4" s="12"/>
      <c r="Q4" s="12"/>
      <c r="R4" s="12"/>
    </row>
    <row r="5" spans="1:44" ht="16.5" customHeight="1">
      <c r="A5" s="13" t="s">
        <v>35</v>
      </c>
      <c r="B5" s="1"/>
      <c r="C5" s="520"/>
      <c r="D5" s="520"/>
      <c r="E5" s="520"/>
      <c r="F5" s="520"/>
      <c r="G5" s="520"/>
      <c r="H5" s="520"/>
      <c r="I5" s="1"/>
      <c r="J5" s="2" t="s">
        <v>36</v>
      </c>
      <c r="P5" s="2"/>
      <c r="Q5" s="115"/>
      <c r="R5" s="13" t="s">
        <v>37</v>
      </c>
      <c r="X5" s="13"/>
      <c r="Y5" s="13"/>
      <c r="Z5" s="13"/>
      <c r="AA5" s="34" t="s">
        <v>38</v>
      </c>
      <c r="AD5" s="34"/>
      <c r="AE5" s="34"/>
      <c r="AF5" s="34"/>
      <c r="AG5" s="34"/>
      <c r="AH5" s="34"/>
      <c r="AI5" s="54"/>
      <c r="AJ5" s="2" t="s">
        <v>59</v>
      </c>
      <c r="AR5" s="2"/>
    </row>
    <row r="6" spans="1:44">
      <c r="A6" s="3" t="s">
        <v>0</v>
      </c>
      <c r="B6" s="4" t="s">
        <v>1</v>
      </c>
      <c r="C6" s="55" t="s">
        <v>2</v>
      </c>
      <c r="D6" s="4" t="s">
        <v>3</v>
      </c>
      <c r="E6" s="55" t="s">
        <v>4</v>
      </c>
      <c r="F6" s="4" t="s">
        <v>5</v>
      </c>
      <c r="G6" s="55" t="s">
        <v>6</v>
      </c>
      <c r="H6" s="4" t="s">
        <v>7</v>
      </c>
      <c r="I6" s="1"/>
      <c r="J6" s="56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57" t="s">
        <v>7</v>
      </c>
      <c r="Z6" s="58"/>
      <c r="AA6" s="59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0" t="s">
        <v>9</v>
      </c>
      <c r="D7" s="5" t="s">
        <v>10</v>
      </c>
      <c r="E7" s="60" t="s">
        <v>9</v>
      </c>
      <c r="F7" s="5" t="s">
        <v>9</v>
      </c>
      <c r="G7" s="60" t="s">
        <v>9</v>
      </c>
      <c r="H7" s="5" t="s">
        <v>9</v>
      </c>
      <c r="I7" s="1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1" t="s">
        <v>9</v>
      </c>
      <c r="Z7" s="58"/>
      <c r="AA7" s="28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115" customFormat="1">
      <c r="A8" s="62" t="s">
        <v>17</v>
      </c>
      <c r="B8" s="409"/>
      <c r="C8" s="409"/>
      <c r="D8" s="409"/>
      <c r="E8" s="409"/>
      <c r="F8" s="409"/>
      <c r="G8" s="409"/>
      <c r="H8" s="409"/>
      <c r="J8" s="33" t="s">
        <v>17</v>
      </c>
      <c r="K8" s="64"/>
      <c r="L8" s="64"/>
      <c r="M8" s="64"/>
      <c r="N8" s="64"/>
      <c r="O8" s="64"/>
      <c r="P8" s="64"/>
      <c r="Q8" s="64"/>
      <c r="R8" s="33" t="s">
        <v>17</v>
      </c>
      <c r="S8" s="64"/>
      <c r="T8" s="64"/>
      <c r="U8" s="64"/>
      <c r="V8" s="64"/>
      <c r="W8" s="64"/>
      <c r="X8" s="64"/>
      <c r="Y8" s="270"/>
      <c r="Z8" s="252"/>
      <c r="AA8" s="63" t="s">
        <v>17</v>
      </c>
      <c r="AB8" s="64"/>
      <c r="AC8" s="64"/>
      <c r="AD8" s="64"/>
      <c r="AE8" s="64"/>
      <c r="AF8" s="64"/>
      <c r="AG8" s="64"/>
      <c r="AH8" s="64"/>
      <c r="AJ8" s="33" t="s">
        <v>17</v>
      </c>
      <c r="AK8" s="64"/>
      <c r="AL8" s="64"/>
      <c r="AM8" s="64"/>
      <c r="AN8" s="64"/>
      <c r="AO8" s="64"/>
      <c r="AP8" s="64"/>
      <c r="AQ8" s="64"/>
    </row>
    <row r="9" spans="1:44" s="215" customFormat="1" ht="13.8">
      <c r="A9" s="116" t="s">
        <v>40</v>
      </c>
      <c r="B9" s="249">
        <f>+K9+S9+AK9</f>
        <v>464.70000000000005</v>
      </c>
      <c r="C9" s="249">
        <f>+L9+T9+AL9</f>
        <v>27920</v>
      </c>
      <c r="D9" s="249">
        <f>D13+D20</f>
        <v>23610</v>
      </c>
      <c r="E9" s="249">
        <f t="shared" ref="E9:H10" si="0">+N9+V9+AN9</f>
        <v>4377</v>
      </c>
      <c r="F9" s="249">
        <f t="shared" si="0"/>
        <v>7582</v>
      </c>
      <c r="G9" s="249">
        <f t="shared" si="0"/>
        <v>894</v>
      </c>
      <c r="H9" s="249">
        <f t="shared" si="0"/>
        <v>10757</v>
      </c>
      <c r="J9" s="116" t="s">
        <v>40</v>
      </c>
      <c r="K9" s="249">
        <f t="shared" ref="K9:Q9" si="1">K13+K20</f>
        <v>165</v>
      </c>
      <c r="L9" s="249">
        <f t="shared" si="1"/>
        <v>5706</v>
      </c>
      <c r="M9" s="249">
        <f t="shared" si="1"/>
        <v>4663</v>
      </c>
      <c r="N9" s="249">
        <f t="shared" si="1"/>
        <v>641</v>
      </c>
      <c r="O9" s="249">
        <f t="shared" si="1"/>
        <v>1786</v>
      </c>
      <c r="P9" s="249">
        <f t="shared" si="1"/>
        <v>281</v>
      </c>
      <c r="Q9" s="249">
        <f t="shared" si="1"/>
        <v>1955</v>
      </c>
      <c r="R9" s="116" t="s">
        <v>40</v>
      </c>
      <c r="S9" s="267">
        <f t="shared" ref="S9:Y10" si="2">S13+S20</f>
        <v>297.90000000000003</v>
      </c>
      <c r="T9" s="249">
        <f t="shared" si="2"/>
        <v>22046</v>
      </c>
      <c r="U9" s="249">
        <f t="shared" si="2"/>
        <v>18828</v>
      </c>
      <c r="V9" s="249">
        <f t="shared" si="2"/>
        <v>3736</v>
      </c>
      <c r="W9" s="249">
        <f t="shared" si="2"/>
        <v>5796</v>
      </c>
      <c r="X9" s="249">
        <f t="shared" si="2"/>
        <v>597</v>
      </c>
      <c r="Y9" s="268">
        <f t="shared" si="2"/>
        <v>8699</v>
      </c>
      <c r="Z9" s="250"/>
      <c r="AA9" s="117" t="s">
        <v>40</v>
      </c>
      <c r="AB9" s="249">
        <f t="shared" ref="AB9:AH10" si="3">AB13+AB20</f>
        <v>11.4</v>
      </c>
      <c r="AC9" s="249">
        <f t="shared" si="3"/>
        <v>722</v>
      </c>
      <c r="AD9" s="249">
        <f t="shared" si="3"/>
        <v>621</v>
      </c>
      <c r="AE9" s="249">
        <f t="shared" si="3"/>
        <v>248</v>
      </c>
      <c r="AF9" s="249">
        <f t="shared" si="3"/>
        <v>187</v>
      </c>
      <c r="AG9" s="249">
        <f t="shared" si="3"/>
        <v>14</v>
      </c>
      <c r="AH9" s="249">
        <f t="shared" si="3"/>
        <v>172</v>
      </c>
      <c r="AJ9" s="116" t="s">
        <v>40</v>
      </c>
      <c r="AK9" s="249">
        <f t="shared" ref="AK9:AQ10" si="4">AK13+AK20</f>
        <v>1.7999999999999998</v>
      </c>
      <c r="AL9" s="249">
        <f t="shared" si="4"/>
        <v>168</v>
      </c>
      <c r="AM9" s="249">
        <f t="shared" si="4"/>
        <v>119</v>
      </c>
      <c r="AN9" s="249">
        <f t="shared" si="4"/>
        <v>0</v>
      </c>
      <c r="AO9" s="249">
        <f t="shared" si="4"/>
        <v>0</v>
      </c>
      <c r="AP9" s="249">
        <f t="shared" si="4"/>
        <v>16</v>
      </c>
      <c r="AQ9" s="249">
        <f t="shared" si="4"/>
        <v>103</v>
      </c>
    </row>
    <row r="10" spans="1:44" s="115" customFormat="1">
      <c r="A10" s="7" t="s">
        <v>41</v>
      </c>
      <c r="B10" s="269">
        <f>+K10+S10+AK10</f>
        <v>420.79999999999995</v>
      </c>
      <c r="C10" s="64">
        <f>+L10+T10+AL10</f>
        <v>26505</v>
      </c>
      <c r="D10" s="64">
        <f>E10+F10+G10+H10</f>
        <v>23668</v>
      </c>
      <c r="E10" s="64">
        <f t="shared" si="0"/>
        <v>4558</v>
      </c>
      <c r="F10" s="64">
        <f t="shared" si="0"/>
        <v>4470</v>
      </c>
      <c r="G10" s="64">
        <f t="shared" si="0"/>
        <v>639</v>
      </c>
      <c r="H10" s="64">
        <f t="shared" si="0"/>
        <v>14001</v>
      </c>
      <c r="J10" s="7" t="s">
        <v>41</v>
      </c>
      <c r="K10" s="64">
        <f>K14+K21</f>
        <v>70.899999999999991</v>
      </c>
      <c r="L10" s="64">
        <f>L14+L21</f>
        <v>3960</v>
      </c>
      <c r="M10" s="64">
        <f>N10+O10+P10+Q10</f>
        <v>3456</v>
      </c>
      <c r="N10" s="64">
        <f>N14+N21</f>
        <v>304</v>
      </c>
      <c r="O10" s="64">
        <f>O14+O21</f>
        <v>770</v>
      </c>
      <c r="P10" s="64">
        <f>P14+P21</f>
        <v>120</v>
      </c>
      <c r="Q10" s="64">
        <f>Q14+Q21</f>
        <v>2262</v>
      </c>
      <c r="R10" s="7" t="s">
        <v>41</v>
      </c>
      <c r="S10" s="189">
        <f t="shared" si="2"/>
        <v>349.9</v>
      </c>
      <c r="T10" s="64">
        <f>T14+T21</f>
        <v>22545</v>
      </c>
      <c r="U10" s="64">
        <f>U14+U21</f>
        <v>20212</v>
      </c>
      <c r="V10" s="64">
        <f>V14+V21</f>
        <v>4254</v>
      </c>
      <c r="W10" s="64">
        <f t="shared" si="2"/>
        <v>3700</v>
      </c>
      <c r="X10" s="64">
        <f>X14+X21</f>
        <v>519</v>
      </c>
      <c r="Y10" s="270">
        <f t="shared" si="2"/>
        <v>11739</v>
      </c>
      <c r="Z10" s="252"/>
      <c r="AA10" s="65" t="s">
        <v>41</v>
      </c>
      <c r="AB10" s="64">
        <f t="shared" si="3"/>
        <v>4.4000000000000004</v>
      </c>
      <c r="AC10" s="64">
        <f>AC14+AC21</f>
        <v>700</v>
      </c>
      <c r="AD10" s="64">
        <f t="shared" si="3"/>
        <v>652</v>
      </c>
      <c r="AE10" s="64">
        <f t="shared" si="3"/>
        <v>286</v>
      </c>
      <c r="AF10" s="64">
        <f t="shared" si="3"/>
        <v>115</v>
      </c>
      <c r="AG10" s="64">
        <f t="shared" si="3"/>
        <v>23</v>
      </c>
      <c r="AH10" s="64">
        <f t="shared" si="3"/>
        <v>228</v>
      </c>
      <c r="AJ10" s="7" t="s">
        <v>41</v>
      </c>
      <c r="AK10" s="189">
        <f t="shared" si="4"/>
        <v>0</v>
      </c>
      <c r="AL10" s="190">
        <f t="shared" si="4"/>
        <v>0</v>
      </c>
      <c r="AM10" s="190">
        <f t="shared" si="4"/>
        <v>0</v>
      </c>
      <c r="AN10" s="190">
        <f t="shared" si="4"/>
        <v>0</v>
      </c>
      <c r="AO10" s="190">
        <f t="shared" si="4"/>
        <v>0</v>
      </c>
      <c r="AP10" s="190">
        <f t="shared" si="4"/>
        <v>0</v>
      </c>
      <c r="AQ10" s="190">
        <f t="shared" si="4"/>
        <v>0</v>
      </c>
    </row>
    <row r="11" spans="1:44" s="115" customFormat="1">
      <c r="A11" s="33" t="s">
        <v>20</v>
      </c>
      <c r="B11" s="190">
        <f t="shared" ref="B11:H11" si="5">B10/B9*100</f>
        <v>90.553044975252831</v>
      </c>
      <c r="C11" s="190">
        <f t="shared" si="5"/>
        <v>94.931948424068764</v>
      </c>
      <c r="D11" s="190">
        <f t="shared" si="5"/>
        <v>100.24565861922913</v>
      </c>
      <c r="E11" s="190">
        <f t="shared" si="5"/>
        <v>104.13525245602011</v>
      </c>
      <c r="F11" s="190">
        <f t="shared" si="5"/>
        <v>58.955420733315748</v>
      </c>
      <c r="G11" s="190">
        <f t="shared" si="5"/>
        <v>71.476510067114091</v>
      </c>
      <c r="H11" s="190">
        <f t="shared" si="5"/>
        <v>130.15710700009296</v>
      </c>
      <c r="I11" s="309"/>
      <c r="J11" s="33" t="s">
        <v>20</v>
      </c>
      <c r="K11" s="190">
        <f t="shared" ref="K11:Q11" si="6">K10/K9*100</f>
        <v>42.969696969696962</v>
      </c>
      <c r="L11" s="190">
        <f t="shared" si="6"/>
        <v>69.400630914826493</v>
      </c>
      <c r="M11" s="190">
        <f t="shared" si="6"/>
        <v>74.115376367145615</v>
      </c>
      <c r="N11" s="190">
        <f t="shared" si="6"/>
        <v>47.425897035881434</v>
      </c>
      <c r="O11" s="190">
        <f t="shared" si="6"/>
        <v>43.113101903695409</v>
      </c>
      <c r="P11" s="190">
        <f t="shared" si="6"/>
        <v>42.704626334519574</v>
      </c>
      <c r="Q11" s="190">
        <f t="shared" si="6"/>
        <v>115.70332480818415</v>
      </c>
      <c r="R11" s="33" t="s">
        <v>20</v>
      </c>
      <c r="S11" s="190">
        <f t="shared" ref="S11:Y11" si="7">S10/S9*100</f>
        <v>117.45552198724403</v>
      </c>
      <c r="T11" s="190">
        <f t="shared" si="7"/>
        <v>102.26344915177357</v>
      </c>
      <c r="U11" s="190">
        <f t="shared" si="7"/>
        <v>107.35075419587847</v>
      </c>
      <c r="V11" s="190">
        <f t="shared" si="7"/>
        <v>113.86509635974305</v>
      </c>
      <c r="W11" s="190">
        <f t="shared" si="7"/>
        <v>63.837129054520361</v>
      </c>
      <c r="X11" s="190">
        <f t="shared" si="7"/>
        <v>86.934673366834176</v>
      </c>
      <c r="Y11" s="271">
        <f t="shared" si="7"/>
        <v>134.9465455799517</v>
      </c>
      <c r="Z11" s="253"/>
      <c r="AA11" s="63" t="s">
        <v>20</v>
      </c>
      <c r="AB11" s="190">
        <f t="shared" ref="AB11:AH11" si="8">AB10/AB9*100</f>
        <v>38.596491228070178</v>
      </c>
      <c r="AC11" s="190">
        <f t="shared" si="8"/>
        <v>96.95290858725761</v>
      </c>
      <c r="AD11" s="190">
        <f t="shared" si="8"/>
        <v>104.99194847020934</v>
      </c>
      <c r="AE11" s="190">
        <f t="shared" si="8"/>
        <v>115.3225806451613</v>
      </c>
      <c r="AF11" s="190">
        <f t="shared" si="8"/>
        <v>61.497326203208559</v>
      </c>
      <c r="AG11" s="190">
        <f t="shared" si="8"/>
        <v>164.28571428571428</v>
      </c>
      <c r="AH11" s="190">
        <f t="shared" si="8"/>
        <v>132.55813953488371</v>
      </c>
      <c r="AI11" s="309"/>
      <c r="AJ11" s="33" t="s">
        <v>20</v>
      </c>
      <c r="AK11" s="190">
        <f t="shared" ref="AK11:AQ11" si="9">AK10/AK9*100</f>
        <v>0</v>
      </c>
      <c r="AL11" s="190">
        <f t="shared" si="9"/>
        <v>0</v>
      </c>
      <c r="AM11" s="190">
        <f t="shared" si="9"/>
        <v>0</v>
      </c>
      <c r="AN11" s="190" t="e">
        <f t="shared" si="9"/>
        <v>#DIV/0!</v>
      </c>
      <c r="AO11" s="190" t="e">
        <f t="shared" si="9"/>
        <v>#DIV/0!</v>
      </c>
      <c r="AP11" s="190">
        <f t="shared" si="9"/>
        <v>0</v>
      </c>
      <c r="AQ11" s="190">
        <f t="shared" si="9"/>
        <v>0</v>
      </c>
    </row>
    <row r="12" spans="1:44">
      <c r="A12" s="6" t="s">
        <v>11</v>
      </c>
      <c r="B12" s="229"/>
      <c r="C12" s="229"/>
      <c r="D12" s="229"/>
      <c r="E12" s="229"/>
      <c r="F12" s="229"/>
      <c r="G12" s="229"/>
      <c r="H12" s="229"/>
      <c r="J12" s="6" t="s">
        <v>11</v>
      </c>
      <c r="K12" s="229"/>
      <c r="L12" s="229"/>
      <c r="M12" s="229"/>
      <c r="N12" s="229"/>
      <c r="O12" s="229"/>
      <c r="P12" s="229"/>
      <c r="Q12" s="229"/>
      <c r="R12" s="6" t="s">
        <v>11</v>
      </c>
      <c r="S12" s="229"/>
      <c r="T12" s="229"/>
      <c r="U12" s="229"/>
      <c r="V12" s="229"/>
      <c r="W12" s="229"/>
      <c r="X12" s="229"/>
      <c r="Y12" s="66"/>
      <c r="Z12" s="67"/>
      <c r="AA12" s="68" t="s">
        <v>11</v>
      </c>
      <c r="AB12" s="229"/>
      <c r="AC12" s="229"/>
      <c r="AD12" s="64"/>
      <c r="AE12" s="229"/>
      <c r="AF12" s="229"/>
      <c r="AG12" s="229"/>
      <c r="AH12" s="229"/>
      <c r="AJ12" s="6" t="s">
        <v>11</v>
      </c>
      <c r="AK12" s="229"/>
      <c r="AL12" s="229"/>
      <c r="AM12" s="229"/>
      <c r="AN12" s="229"/>
      <c r="AO12" s="229"/>
      <c r="AP12" s="229"/>
      <c r="AQ12" s="229"/>
    </row>
    <row r="13" spans="1:44" s="216" customFormat="1">
      <c r="A13" s="118" t="s">
        <v>40</v>
      </c>
      <c r="B13" s="119">
        <f>+K13+S13+AK13</f>
        <v>17.900000000000002</v>
      </c>
      <c r="C13" s="119">
        <f>+L13+T13+AL13</f>
        <v>990</v>
      </c>
      <c r="D13" s="119">
        <f>E13+F13+G13+H13</f>
        <v>749</v>
      </c>
      <c r="E13" s="119">
        <f t="shared" ref="E13:H14" si="10">+N13+V13+AN13</f>
        <v>191</v>
      </c>
      <c r="F13" s="119">
        <f t="shared" si="10"/>
        <v>380</v>
      </c>
      <c r="G13" s="119">
        <f t="shared" si="10"/>
        <v>42</v>
      </c>
      <c r="H13" s="119">
        <f t="shared" si="10"/>
        <v>136</v>
      </c>
      <c r="J13" s="118" t="s">
        <v>40</v>
      </c>
      <c r="K13" s="119">
        <v>17.600000000000001</v>
      </c>
      <c r="L13" s="119">
        <v>964</v>
      </c>
      <c r="M13" s="119">
        <f>N13+O13+P13+Q13</f>
        <v>729</v>
      </c>
      <c r="N13" s="119">
        <v>185</v>
      </c>
      <c r="O13" s="119">
        <v>370</v>
      </c>
      <c r="P13" s="119">
        <v>41</v>
      </c>
      <c r="Q13" s="119">
        <v>133</v>
      </c>
      <c r="R13" s="118" t="s">
        <v>40</v>
      </c>
      <c r="S13" s="119">
        <v>0.3</v>
      </c>
      <c r="T13" s="119">
        <v>26</v>
      </c>
      <c r="U13" s="119">
        <f>V13+W13+X13+Y13</f>
        <v>20</v>
      </c>
      <c r="V13" s="119">
        <v>6</v>
      </c>
      <c r="W13" s="119">
        <v>10</v>
      </c>
      <c r="X13" s="119">
        <v>1</v>
      </c>
      <c r="Y13" s="272">
        <v>3</v>
      </c>
      <c r="Z13" s="254"/>
      <c r="AA13" s="120" t="s">
        <v>40</v>
      </c>
      <c r="AB13" s="119"/>
      <c r="AC13" s="119"/>
      <c r="AD13" s="119">
        <f>AE13+AF13+AG13+AH13</f>
        <v>0</v>
      </c>
      <c r="AE13" s="119"/>
      <c r="AF13" s="119"/>
      <c r="AG13" s="119"/>
      <c r="AH13" s="119"/>
      <c r="AJ13" s="118" t="s">
        <v>40</v>
      </c>
      <c r="AK13" s="119"/>
      <c r="AL13" s="119"/>
      <c r="AM13" s="178">
        <f>SUM(AN13:AQ13)</f>
        <v>0</v>
      </c>
      <c r="AN13" s="119"/>
      <c r="AO13" s="119"/>
      <c r="AP13" s="119"/>
      <c r="AQ13" s="119"/>
    </row>
    <row r="14" spans="1:44">
      <c r="A14" s="69" t="s">
        <v>41</v>
      </c>
      <c r="B14" s="273">
        <f>+K14+S14+AK14</f>
        <v>22.3</v>
      </c>
      <c r="C14" s="229">
        <f>+L14+T14+AL14</f>
        <v>1620</v>
      </c>
      <c r="D14" s="229">
        <f>E14+F14+G14+H14</f>
        <v>1384</v>
      </c>
      <c r="E14" s="229">
        <f t="shared" si="10"/>
        <v>207</v>
      </c>
      <c r="F14" s="229">
        <f t="shared" si="10"/>
        <v>212</v>
      </c>
      <c r="G14" s="229">
        <f t="shared" si="10"/>
        <v>58</v>
      </c>
      <c r="H14" s="229">
        <f t="shared" si="10"/>
        <v>907</v>
      </c>
      <c r="J14" s="69" t="s">
        <v>41</v>
      </c>
      <c r="K14" s="229">
        <v>22.3</v>
      </c>
      <c r="L14" s="229">
        <v>1620</v>
      </c>
      <c r="M14" s="229">
        <f>N14+O14+P14+Q14</f>
        <v>1384</v>
      </c>
      <c r="N14" s="229">
        <v>207</v>
      </c>
      <c r="O14" s="229">
        <v>212</v>
      </c>
      <c r="P14" s="229">
        <v>58</v>
      </c>
      <c r="Q14" s="229">
        <v>907</v>
      </c>
      <c r="R14" s="69" t="s">
        <v>41</v>
      </c>
      <c r="S14" s="229"/>
      <c r="T14" s="229"/>
      <c r="U14" s="229">
        <f>V14+W14+X14+Y14</f>
        <v>0</v>
      </c>
      <c r="V14" s="229"/>
      <c r="W14" s="229"/>
      <c r="X14" s="229"/>
      <c r="Y14" s="66"/>
      <c r="Z14" s="67"/>
      <c r="AA14" s="70" t="s">
        <v>41</v>
      </c>
      <c r="AB14" s="229">
        <v>0</v>
      </c>
      <c r="AC14" s="229">
        <v>0</v>
      </c>
      <c r="AD14" s="391">
        <f>AE14+AF14+AG14+AH14</f>
        <v>0</v>
      </c>
      <c r="AE14" s="229">
        <v>0</v>
      </c>
      <c r="AF14" s="229">
        <v>0</v>
      </c>
      <c r="AG14" s="229">
        <v>0</v>
      </c>
      <c r="AH14" s="229">
        <v>0</v>
      </c>
      <c r="AJ14" s="69" t="s">
        <v>41</v>
      </c>
      <c r="AK14" s="229"/>
      <c r="AL14" s="229"/>
      <c r="AM14" s="51">
        <f>AN14+AO14+AP14+AQ14</f>
        <v>0</v>
      </c>
      <c r="AN14" s="229"/>
      <c r="AO14" s="229"/>
      <c r="AP14" s="229"/>
      <c r="AQ14" s="229"/>
    </row>
    <row r="15" spans="1:44">
      <c r="A15" s="6" t="s">
        <v>20</v>
      </c>
      <c r="B15" s="51">
        <f t="shared" ref="B15:H15" si="11">B14/B13*100</f>
        <v>124.58100558659217</v>
      </c>
      <c r="C15" s="51">
        <f t="shared" si="11"/>
        <v>163.63636363636365</v>
      </c>
      <c r="D15" s="51">
        <f t="shared" si="11"/>
        <v>184.77970627503336</v>
      </c>
      <c r="E15" s="51">
        <f t="shared" si="11"/>
        <v>108.37696335078535</v>
      </c>
      <c r="F15" s="51">
        <f t="shared" si="11"/>
        <v>55.78947368421052</v>
      </c>
      <c r="G15" s="51">
        <f t="shared" si="11"/>
        <v>138.0952380952381</v>
      </c>
      <c r="H15" s="51">
        <f t="shared" si="11"/>
        <v>666.91176470588232</v>
      </c>
      <c r="I15" s="21"/>
      <c r="J15" s="6" t="s">
        <v>20</v>
      </c>
      <c r="K15" s="51">
        <f t="shared" ref="K15:Q15" si="12">K14/K13*100</f>
        <v>126.70454545454545</v>
      </c>
      <c r="L15" s="51">
        <f t="shared" si="12"/>
        <v>168.04979253112035</v>
      </c>
      <c r="M15" s="51">
        <f t="shared" si="12"/>
        <v>189.84910836762688</v>
      </c>
      <c r="N15" s="51">
        <f t="shared" si="12"/>
        <v>111.89189189189189</v>
      </c>
      <c r="O15" s="51">
        <f t="shared" si="12"/>
        <v>57.297297297297298</v>
      </c>
      <c r="P15" s="51">
        <f t="shared" si="12"/>
        <v>141.46341463414635</v>
      </c>
      <c r="Q15" s="51">
        <f t="shared" si="12"/>
        <v>681.95488721804509</v>
      </c>
      <c r="R15" s="6" t="s">
        <v>20</v>
      </c>
      <c r="S15" s="51">
        <f t="shared" ref="S15:Y15" si="13">S14/S13*100</f>
        <v>0</v>
      </c>
      <c r="T15" s="51">
        <f t="shared" si="13"/>
        <v>0</v>
      </c>
      <c r="U15" s="51">
        <f t="shared" si="13"/>
        <v>0</v>
      </c>
      <c r="V15" s="51">
        <f t="shared" si="13"/>
        <v>0</v>
      </c>
      <c r="W15" s="51">
        <f t="shared" si="13"/>
        <v>0</v>
      </c>
      <c r="X15" s="51">
        <f t="shared" si="13"/>
        <v>0</v>
      </c>
      <c r="Y15" s="121">
        <f t="shared" si="13"/>
        <v>0</v>
      </c>
      <c r="Z15" s="67"/>
      <c r="AA15" s="68" t="s">
        <v>20</v>
      </c>
      <c r="AB15" s="229" t="e">
        <f t="shared" ref="AB15:AH15" si="14">AB14/AB13*100</f>
        <v>#DIV/0!</v>
      </c>
      <c r="AC15" s="229" t="e">
        <f t="shared" si="14"/>
        <v>#DIV/0!</v>
      </c>
      <c r="AD15" s="229" t="e">
        <f t="shared" si="14"/>
        <v>#DIV/0!</v>
      </c>
      <c r="AE15" s="229" t="e">
        <f t="shared" si="14"/>
        <v>#DIV/0!</v>
      </c>
      <c r="AF15" s="229" t="e">
        <f t="shared" si="14"/>
        <v>#DIV/0!</v>
      </c>
      <c r="AG15" s="229" t="e">
        <f t="shared" si="14"/>
        <v>#DIV/0!</v>
      </c>
      <c r="AH15" s="229" t="e">
        <f t="shared" si="14"/>
        <v>#DIV/0!</v>
      </c>
      <c r="AJ15" s="6" t="s">
        <v>20</v>
      </c>
      <c r="AK15" s="51" t="e">
        <f t="shared" ref="AK15:AQ15" si="15">AK14/AK13*100</f>
        <v>#DIV/0!</v>
      </c>
      <c r="AL15" s="51" t="e">
        <f t="shared" si="15"/>
        <v>#DIV/0!</v>
      </c>
      <c r="AM15" s="51" t="e">
        <f t="shared" si="15"/>
        <v>#DIV/0!</v>
      </c>
      <c r="AN15" s="51" t="e">
        <f t="shared" si="15"/>
        <v>#DIV/0!</v>
      </c>
      <c r="AO15" s="51" t="e">
        <f t="shared" si="15"/>
        <v>#DIV/0!</v>
      </c>
      <c r="AP15" s="51" t="e">
        <f t="shared" si="15"/>
        <v>#DIV/0!</v>
      </c>
      <c r="AQ15" s="51" t="e">
        <f t="shared" si="15"/>
        <v>#DIV/0!</v>
      </c>
    </row>
    <row r="16" spans="1:44">
      <c r="A16" s="6" t="s">
        <v>13</v>
      </c>
      <c r="B16" s="229">
        <f t="shared" ref="B16:C18" si="16">+K16+S16+AK16</f>
        <v>0.4</v>
      </c>
      <c r="C16" s="229">
        <f t="shared" si="16"/>
        <v>20</v>
      </c>
      <c r="D16" s="229">
        <f>E16+F16+G16+H16</f>
        <v>8</v>
      </c>
      <c r="E16" s="229">
        <f t="shared" ref="E16:H18" si="17">+N16+V16+AN16</f>
        <v>1</v>
      </c>
      <c r="F16" s="229">
        <f t="shared" si="17"/>
        <v>1</v>
      </c>
      <c r="G16" s="229">
        <f t="shared" si="17"/>
        <v>0</v>
      </c>
      <c r="H16" s="229">
        <f t="shared" si="17"/>
        <v>6</v>
      </c>
      <c r="J16" s="6" t="s">
        <v>13</v>
      </c>
      <c r="K16" s="229">
        <v>0.4</v>
      </c>
      <c r="L16" s="229">
        <v>20</v>
      </c>
      <c r="M16" s="229">
        <f>N16+O16+P16+Q16</f>
        <v>8</v>
      </c>
      <c r="N16" s="229">
        <v>1</v>
      </c>
      <c r="O16" s="229">
        <v>1</v>
      </c>
      <c r="P16" s="229"/>
      <c r="Q16" s="229">
        <v>6</v>
      </c>
      <c r="R16" s="6" t="s">
        <v>13</v>
      </c>
      <c r="S16" s="229"/>
      <c r="T16" s="229"/>
      <c r="U16" s="229"/>
      <c r="V16" s="229"/>
      <c r="W16" s="229"/>
      <c r="X16" s="229"/>
      <c r="Y16" s="66"/>
      <c r="Z16" s="67"/>
      <c r="AA16" s="68" t="s">
        <v>13</v>
      </c>
      <c r="AB16" s="229"/>
      <c r="AC16" s="229"/>
      <c r="AD16" s="229"/>
      <c r="AE16" s="229"/>
      <c r="AF16" s="229"/>
      <c r="AG16" s="229"/>
      <c r="AH16" s="229"/>
      <c r="AJ16" s="6" t="s">
        <v>13</v>
      </c>
      <c r="AK16" s="229"/>
      <c r="AL16" s="229"/>
      <c r="AM16" s="51">
        <f>SUM(AN16:AQ16)</f>
        <v>0</v>
      </c>
      <c r="AN16" s="229"/>
      <c r="AO16" s="229"/>
      <c r="AP16" s="229"/>
      <c r="AQ16" s="229"/>
    </row>
    <row r="17" spans="1:43">
      <c r="A17" s="6" t="s">
        <v>14</v>
      </c>
      <c r="B17" s="229">
        <f t="shared" si="16"/>
        <v>0</v>
      </c>
      <c r="C17" s="229">
        <f t="shared" si="16"/>
        <v>0</v>
      </c>
      <c r="D17" s="229">
        <f>E17+F17+G17+H17</f>
        <v>0</v>
      </c>
      <c r="E17" s="229">
        <f t="shared" si="17"/>
        <v>0</v>
      </c>
      <c r="F17" s="229">
        <f t="shared" si="17"/>
        <v>0</v>
      </c>
      <c r="G17" s="229">
        <f t="shared" si="17"/>
        <v>0</v>
      </c>
      <c r="H17" s="229">
        <f t="shared" si="17"/>
        <v>0</v>
      </c>
      <c r="J17" s="6" t="s">
        <v>14</v>
      </c>
      <c r="K17" s="229"/>
      <c r="L17" s="229"/>
      <c r="M17" s="229">
        <f>N17+O17+P17+Q17</f>
        <v>0</v>
      </c>
      <c r="N17" s="229"/>
      <c r="O17" s="229"/>
      <c r="P17" s="229"/>
      <c r="Q17" s="229"/>
      <c r="R17" s="6" t="s">
        <v>14</v>
      </c>
      <c r="S17" s="229"/>
      <c r="T17" s="229"/>
      <c r="U17" s="229"/>
      <c r="V17" s="229"/>
      <c r="W17" s="229"/>
      <c r="X17" s="229"/>
      <c r="Y17" s="66"/>
      <c r="Z17" s="67"/>
      <c r="AA17" s="68" t="s">
        <v>14</v>
      </c>
      <c r="AB17" s="229"/>
      <c r="AC17" s="229"/>
      <c r="AD17" s="229"/>
      <c r="AE17" s="229"/>
      <c r="AF17" s="229"/>
      <c r="AG17" s="229"/>
      <c r="AH17" s="229"/>
      <c r="AJ17" s="6" t="s">
        <v>14</v>
      </c>
      <c r="AK17" s="229"/>
      <c r="AL17" s="229"/>
      <c r="AM17" s="51">
        <f>SUM(AN17:AQ17)</f>
        <v>0</v>
      </c>
      <c r="AN17" s="229"/>
      <c r="AO17" s="229"/>
      <c r="AP17" s="229"/>
      <c r="AQ17" s="229"/>
    </row>
    <row r="18" spans="1:43">
      <c r="A18" s="6" t="s">
        <v>15</v>
      </c>
      <c r="B18" s="229">
        <f t="shared" si="16"/>
        <v>0</v>
      </c>
      <c r="C18" s="229">
        <f t="shared" si="16"/>
        <v>0</v>
      </c>
      <c r="D18" s="229">
        <f>E18+F18+G18+H18</f>
        <v>0</v>
      </c>
      <c r="E18" s="229">
        <f t="shared" si="17"/>
        <v>0</v>
      </c>
      <c r="F18" s="229">
        <f t="shared" si="17"/>
        <v>0</v>
      </c>
      <c r="G18" s="229">
        <f t="shared" si="17"/>
        <v>0</v>
      </c>
      <c r="H18" s="229">
        <f t="shared" si="17"/>
        <v>0</v>
      </c>
      <c r="J18" s="6" t="s">
        <v>15</v>
      </c>
      <c r="K18" s="229"/>
      <c r="L18" s="229"/>
      <c r="M18" s="229"/>
      <c r="N18" s="229"/>
      <c r="O18" s="229"/>
      <c r="P18" s="229"/>
      <c r="Q18" s="229"/>
      <c r="R18" s="6" t="s">
        <v>15</v>
      </c>
      <c r="S18" s="229"/>
      <c r="T18" s="229"/>
      <c r="U18" s="229"/>
      <c r="V18" s="229"/>
      <c r="W18" s="229"/>
      <c r="X18" s="229"/>
      <c r="Y18" s="66"/>
      <c r="Z18" s="67"/>
      <c r="AA18" s="68" t="s">
        <v>15</v>
      </c>
      <c r="AB18" s="229"/>
      <c r="AC18" s="229"/>
      <c r="AD18" s="229"/>
      <c r="AE18" s="229"/>
      <c r="AF18" s="229"/>
      <c r="AG18" s="229"/>
      <c r="AH18" s="229"/>
      <c r="AJ18" s="6" t="s">
        <v>15</v>
      </c>
      <c r="AK18" s="229"/>
      <c r="AL18" s="229"/>
      <c r="AM18" s="229"/>
      <c r="AN18" s="229"/>
      <c r="AO18" s="229"/>
      <c r="AP18" s="229"/>
      <c r="AQ18" s="229"/>
    </row>
    <row r="19" spans="1:43">
      <c r="A19" s="6" t="s">
        <v>43</v>
      </c>
      <c r="B19" s="229"/>
      <c r="C19" s="229"/>
      <c r="D19" s="229">
        <f>E19+F19+G19+H19</f>
        <v>0</v>
      </c>
      <c r="E19" s="229"/>
      <c r="F19" s="229"/>
      <c r="G19" s="229"/>
      <c r="H19" s="229"/>
      <c r="J19" s="6" t="s">
        <v>43</v>
      </c>
      <c r="K19" s="229"/>
      <c r="L19" s="229"/>
      <c r="M19" s="229"/>
      <c r="N19" s="229"/>
      <c r="O19" s="229"/>
      <c r="P19" s="229"/>
      <c r="Q19" s="229"/>
      <c r="R19" s="6" t="s">
        <v>43</v>
      </c>
      <c r="S19" s="229"/>
      <c r="T19" s="229"/>
      <c r="U19" s="229"/>
      <c r="V19" s="229"/>
      <c r="W19" s="229"/>
      <c r="X19" s="229"/>
      <c r="Y19" s="66"/>
      <c r="Z19" s="67"/>
      <c r="AA19" s="68" t="s">
        <v>43</v>
      </c>
      <c r="AB19" s="229"/>
      <c r="AC19" s="229"/>
      <c r="AD19" s="229"/>
      <c r="AE19" s="229"/>
      <c r="AF19" s="229"/>
      <c r="AG19" s="229"/>
      <c r="AH19" s="229"/>
      <c r="AJ19" s="6" t="s">
        <v>43</v>
      </c>
      <c r="AK19" s="229"/>
      <c r="AL19" s="229"/>
      <c r="AM19" s="229"/>
      <c r="AN19" s="229"/>
      <c r="AO19" s="229"/>
      <c r="AP19" s="229"/>
      <c r="AQ19" s="229"/>
    </row>
    <row r="20" spans="1:43" s="216" customFormat="1">
      <c r="A20" s="118" t="s">
        <v>40</v>
      </c>
      <c r="B20" s="119">
        <f>+K20+S20+AK20</f>
        <v>446.8</v>
      </c>
      <c r="C20" s="119">
        <f>+L20+T20+AL20</f>
        <v>26930</v>
      </c>
      <c r="D20" s="119">
        <f>D23+D26+D29+D32+D35+D38</f>
        <v>22861</v>
      </c>
      <c r="E20" s="119">
        <f t="shared" ref="E20:H21" si="18">+N20+V20+AN20</f>
        <v>4186</v>
      </c>
      <c r="F20" s="119">
        <f t="shared" si="18"/>
        <v>7202</v>
      </c>
      <c r="G20" s="119">
        <f t="shared" si="18"/>
        <v>852</v>
      </c>
      <c r="H20" s="119">
        <f t="shared" si="18"/>
        <v>10621</v>
      </c>
      <c r="J20" s="118" t="s">
        <v>40</v>
      </c>
      <c r="K20" s="119">
        <f t="shared" ref="K20:Q20" si="19">K23+K26+K29+K32+K35+K38</f>
        <v>147.4</v>
      </c>
      <c r="L20" s="119">
        <f t="shared" si="19"/>
        <v>4742</v>
      </c>
      <c r="M20" s="119">
        <f t="shared" si="19"/>
        <v>3934</v>
      </c>
      <c r="N20" s="119">
        <f t="shared" si="19"/>
        <v>456</v>
      </c>
      <c r="O20" s="119">
        <f t="shared" si="19"/>
        <v>1416</v>
      </c>
      <c r="P20" s="119">
        <f t="shared" si="19"/>
        <v>240</v>
      </c>
      <c r="Q20" s="119">
        <f t="shared" si="19"/>
        <v>1822</v>
      </c>
      <c r="R20" s="118" t="s">
        <v>40</v>
      </c>
      <c r="S20" s="119">
        <f t="shared" ref="S20:Y20" si="20">S23+S26+S29+S32+S35+S38</f>
        <v>297.60000000000002</v>
      </c>
      <c r="T20" s="119">
        <f t="shared" si="20"/>
        <v>22020</v>
      </c>
      <c r="U20" s="119">
        <f t="shared" si="20"/>
        <v>18808</v>
      </c>
      <c r="V20" s="119">
        <f t="shared" si="20"/>
        <v>3730</v>
      </c>
      <c r="W20" s="119">
        <f t="shared" si="20"/>
        <v>5786</v>
      </c>
      <c r="X20" s="119">
        <f t="shared" si="20"/>
        <v>596</v>
      </c>
      <c r="Y20" s="272">
        <f t="shared" si="20"/>
        <v>8696</v>
      </c>
      <c r="Z20" s="254"/>
      <c r="AA20" s="120" t="s">
        <v>40</v>
      </c>
      <c r="AB20" s="119">
        <f t="shared" ref="AB20:AH21" si="21">AB23+AB26+AB29+AB32+AB35+AB38</f>
        <v>11.4</v>
      </c>
      <c r="AC20" s="119">
        <f t="shared" si="21"/>
        <v>722</v>
      </c>
      <c r="AD20" s="119">
        <f t="shared" si="21"/>
        <v>621</v>
      </c>
      <c r="AE20" s="119">
        <f t="shared" si="21"/>
        <v>248</v>
      </c>
      <c r="AF20" s="119">
        <f t="shared" si="21"/>
        <v>187</v>
      </c>
      <c r="AG20" s="119">
        <f t="shared" si="21"/>
        <v>14</v>
      </c>
      <c r="AH20" s="119">
        <f t="shared" si="21"/>
        <v>172</v>
      </c>
      <c r="AJ20" s="118" t="s">
        <v>40</v>
      </c>
      <c r="AK20" s="119">
        <f t="shared" ref="AK20:AQ21" si="22">AK23+AK26+AK29+AK32+AK35+AK38</f>
        <v>1.7999999999999998</v>
      </c>
      <c r="AL20" s="119">
        <f t="shared" si="22"/>
        <v>168</v>
      </c>
      <c r="AM20" s="119">
        <f t="shared" si="22"/>
        <v>119</v>
      </c>
      <c r="AN20" s="119">
        <f t="shared" si="22"/>
        <v>0</v>
      </c>
      <c r="AO20" s="119">
        <f t="shared" si="22"/>
        <v>0</v>
      </c>
      <c r="AP20" s="119">
        <f t="shared" si="22"/>
        <v>16</v>
      </c>
      <c r="AQ20" s="119">
        <f t="shared" si="22"/>
        <v>103</v>
      </c>
    </row>
    <row r="21" spans="1:43">
      <c r="A21" s="18" t="s">
        <v>41</v>
      </c>
      <c r="B21" s="273">
        <f>+K21+S21+AK21</f>
        <v>398.5</v>
      </c>
      <c r="C21" s="51">
        <f>+L21+T21+AL21</f>
        <v>24885</v>
      </c>
      <c r="D21" s="229">
        <f>E21+F21+G21+H21</f>
        <v>22284</v>
      </c>
      <c r="E21" s="229">
        <f t="shared" si="18"/>
        <v>4351</v>
      </c>
      <c r="F21" s="229">
        <f t="shared" si="18"/>
        <v>4258</v>
      </c>
      <c r="G21" s="229">
        <f t="shared" si="18"/>
        <v>581</v>
      </c>
      <c r="H21" s="229">
        <f t="shared" si="18"/>
        <v>13094</v>
      </c>
      <c r="J21" s="18" t="s">
        <v>41</v>
      </c>
      <c r="K21" s="229">
        <f>K24+K27+K30+K33+K36+K39</f>
        <v>48.599999999999994</v>
      </c>
      <c r="L21" s="229">
        <f>L24+L27+L30+L33+L36+L39</f>
        <v>2340</v>
      </c>
      <c r="M21" s="229">
        <f>N21+O21+P21+Q21</f>
        <v>2072</v>
      </c>
      <c r="N21" s="229">
        <f>N24+N27+N30+N33+N36+N39</f>
        <v>97</v>
      </c>
      <c r="O21" s="229">
        <f>O24+O27+O30+O33+O36+O39</f>
        <v>558</v>
      </c>
      <c r="P21" s="229">
        <f>P24+P27+P30+P33+P36+P39</f>
        <v>62</v>
      </c>
      <c r="Q21" s="229">
        <f>Q24+Q27+Q30+Q33+Q36+Q39</f>
        <v>1355</v>
      </c>
      <c r="R21" s="18" t="s">
        <v>41</v>
      </c>
      <c r="S21" s="229">
        <f>S24+S27+S30+S33+S36+S39</f>
        <v>349.9</v>
      </c>
      <c r="T21" s="229">
        <f>T24+T27+T30+T33+T36+T39</f>
        <v>22545</v>
      </c>
      <c r="U21" s="229">
        <f>V21+W21+X21+Y21</f>
        <v>20212</v>
      </c>
      <c r="V21" s="229">
        <f>V24+V27+V30+V33+V36+V39</f>
        <v>4254</v>
      </c>
      <c r="W21" s="229">
        <f>W24+W27+W30+W33+W36+W39</f>
        <v>3700</v>
      </c>
      <c r="X21" s="229">
        <f>X24+X27+X30+X33+X36+X39</f>
        <v>519</v>
      </c>
      <c r="Y21" s="229">
        <f>Y24+Y27+Y30+Y33+Y36+Y39</f>
        <v>11739</v>
      </c>
      <c r="Z21" s="67"/>
      <c r="AA21" s="71" t="s">
        <v>41</v>
      </c>
      <c r="AB21" s="229">
        <f t="shared" si="21"/>
        <v>4.4000000000000004</v>
      </c>
      <c r="AC21" s="229">
        <f t="shared" si="21"/>
        <v>700</v>
      </c>
      <c r="AD21" s="229">
        <f t="shared" si="21"/>
        <v>652</v>
      </c>
      <c r="AE21" s="229">
        <f t="shared" si="21"/>
        <v>286</v>
      </c>
      <c r="AF21" s="229">
        <f t="shared" si="21"/>
        <v>115</v>
      </c>
      <c r="AG21" s="229">
        <f t="shared" si="21"/>
        <v>23</v>
      </c>
      <c r="AH21" s="229">
        <f t="shared" si="21"/>
        <v>228</v>
      </c>
      <c r="AJ21" s="18" t="s">
        <v>41</v>
      </c>
      <c r="AK21" s="122">
        <f t="shared" si="22"/>
        <v>0</v>
      </c>
      <c r="AL21" s="51">
        <f t="shared" si="22"/>
        <v>0</v>
      </c>
      <c r="AM21" s="51">
        <f t="shared" si="22"/>
        <v>0</v>
      </c>
      <c r="AN21" s="51">
        <f t="shared" si="22"/>
        <v>0</v>
      </c>
      <c r="AO21" s="51">
        <f t="shared" si="22"/>
        <v>0</v>
      </c>
      <c r="AP21" s="51">
        <f t="shared" si="22"/>
        <v>0</v>
      </c>
      <c r="AQ21" s="51">
        <f t="shared" si="22"/>
        <v>0</v>
      </c>
    </row>
    <row r="22" spans="1:43">
      <c r="A22" s="6" t="s">
        <v>20</v>
      </c>
      <c r="B22" s="51">
        <f t="shared" ref="B22:H22" si="23">B21/B20*100</f>
        <v>89.189794091316017</v>
      </c>
      <c r="C22" s="51">
        <f t="shared" si="23"/>
        <v>92.406238395841072</v>
      </c>
      <c r="D22" s="51">
        <f t="shared" si="23"/>
        <v>97.476050916407857</v>
      </c>
      <c r="E22" s="51">
        <f t="shared" si="23"/>
        <v>103.9417104634496</v>
      </c>
      <c r="F22" s="51">
        <f t="shared" si="23"/>
        <v>59.122465981671759</v>
      </c>
      <c r="G22" s="51">
        <f t="shared" si="23"/>
        <v>68.1924882629108</v>
      </c>
      <c r="H22" s="51">
        <f t="shared" si="23"/>
        <v>123.2840598813671</v>
      </c>
      <c r="I22" s="21"/>
      <c r="J22" s="6" t="s">
        <v>20</v>
      </c>
      <c r="K22" s="51">
        <f t="shared" ref="K22:Q22" si="24">K21/K20*100</f>
        <v>32.971506105834457</v>
      </c>
      <c r="L22" s="51">
        <f t="shared" si="24"/>
        <v>49.346267397722485</v>
      </c>
      <c r="M22" s="51">
        <f t="shared" si="24"/>
        <v>52.669039145907469</v>
      </c>
      <c r="N22" s="51">
        <f t="shared" si="24"/>
        <v>21.271929824561404</v>
      </c>
      <c r="O22" s="51">
        <f t="shared" si="24"/>
        <v>39.406779661016948</v>
      </c>
      <c r="P22" s="51">
        <f t="shared" si="24"/>
        <v>25.833333333333336</v>
      </c>
      <c r="Q22" s="51">
        <f t="shared" si="24"/>
        <v>74.368825466520306</v>
      </c>
      <c r="R22" s="6" t="s">
        <v>20</v>
      </c>
      <c r="S22" s="51">
        <f t="shared" ref="S22:Y22" si="25">S21/S20*100</f>
        <v>117.57392473118277</v>
      </c>
      <c r="T22" s="51">
        <f t="shared" si="25"/>
        <v>102.38419618528611</v>
      </c>
      <c r="U22" s="51">
        <f t="shared" si="25"/>
        <v>107.46490854955337</v>
      </c>
      <c r="V22" s="51">
        <f t="shared" si="25"/>
        <v>114.04825737265416</v>
      </c>
      <c r="W22" s="51">
        <f t="shared" si="25"/>
        <v>63.947459384721739</v>
      </c>
      <c r="X22" s="51">
        <f t="shared" si="25"/>
        <v>87.080536912751683</v>
      </c>
      <c r="Y22" s="121">
        <f t="shared" si="25"/>
        <v>134.99310027598895</v>
      </c>
      <c r="Z22" s="72"/>
      <c r="AA22" s="68" t="s">
        <v>20</v>
      </c>
      <c r="AB22" s="51">
        <f t="shared" ref="AB22:AH22" si="26">AB21/AB20*100</f>
        <v>38.596491228070178</v>
      </c>
      <c r="AC22" s="51">
        <f t="shared" si="26"/>
        <v>96.95290858725761</v>
      </c>
      <c r="AD22" s="51">
        <f t="shared" si="26"/>
        <v>104.99194847020934</v>
      </c>
      <c r="AE22" s="51">
        <f t="shared" si="26"/>
        <v>115.3225806451613</v>
      </c>
      <c r="AF22" s="51">
        <f t="shared" si="26"/>
        <v>61.497326203208559</v>
      </c>
      <c r="AG22" s="51">
        <f t="shared" si="26"/>
        <v>164.28571428571428</v>
      </c>
      <c r="AH22" s="51">
        <f t="shared" si="26"/>
        <v>132.55813953488371</v>
      </c>
      <c r="AI22" s="21"/>
      <c r="AJ22" s="6" t="s">
        <v>20</v>
      </c>
      <c r="AK22" s="51">
        <f t="shared" ref="AK22:AQ22" si="27">AK21/AK20*100</f>
        <v>0</v>
      </c>
      <c r="AL22" s="51">
        <f t="shared" si="27"/>
        <v>0</v>
      </c>
      <c r="AM22" s="51">
        <f t="shared" si="27"/>
        <v>0</v>
      </c>
      <c r="AN22" s="51" t="e">
        <f t="shared" si="27"/>
        <v>#DIV/0!</v>
      </c>
      <c r="AO22" s="51" t="e">
        <f t="shared" si="27"/>
        <v>#DIV/0!</v>
      </c>
      <c r="AP22" s="51">
        <f t="shared" si="27"/>
        <v>0</v>
      </c>
      <c r="AQ22" s="51">
        <f t="shared" si="27"/>
        <v>0</v>
      </c>
    </row>
    <row r="23" spans="1:43" s="216" customFormat="1">
      <c r="A23" s="118" t="s">
        <v>21</v>
      </c>
      <c r="B23" s="119">
        <f>+K23+S23+AK23</f>
        <v>0</v>
      </c>
      <c r="C23" s="119">
        <f>+L23+T23+AL23</f>
        <v>0</v>
      </c>
      <c r="D23" s="119">
        <f>E23+F23+G23+H23</f>
        <v>0</v>
      </c>
      <c r="E23" s="119">
        <f t="shared" ref="E23:H24" si="28">+N23+V23+AN23</f>
        <v>0</v>
      </c>
      <c r="F23" s="119">
        <f t="shared" si="28"/>
        <v>0</v>
      </c>
      <c r="G23" s="119">
        <f t="shared" si="28"/>
        <v>0</v>
      </c>
      <c r="H23" s="119">
        <f t="shared" si="28"/>
        <v>0</v>
      </c>
      <c r="J23" s="118" t="s">
        <v>21</v>
      </c>
      <c r="K23" s="119"/>
      <c r="L23" s="119"/>
      <c r="M23" s="119">
        <f>N23+O23+P23+Q23</f>
        <v>0</v>
      </c>
      <c r="N23" s="119"/>
      <c r="O23" s="119"/>
      <c r="P23" s="119"/>
      <c r="Q23" s="119"/>
      <c r="R23" s="118" t="s">
        <v>21</v>
      </c>
      <c r="S23" s="119"/>
      <c r="T23" s="119"/>
      <c r="U23" s="119">
        <f>V23+W23+X23+Y23</f>
        <v>0</v>
      </c>
      <c r="V23" s="119"/>
      <c r="W23" s="119"/>
      <c r="X23" s="119"/>
      <c r="Y23" s="272"/>
      <c r="Z23" s="254"/>
      <c r="AA23" s="120" t="s">
        <v>21</v>
      </c>
      <c r="AB23" s="119"/>
      <c r="AC23" s="119"/>
      <c r="AD23" s="119">
        <f>AE23+AF23+AG23+AH23</f>
        <v>0</v>
      </c>
      <c r="AE23" s="119"/>
      <c r="AF23" s="119"/>
      <c r="AG23" s="119"/>
      <c r="AH23" s="119"/>
      <c r="AJ23" s="118" t="s">
        <v>21</v>
      </c>
      <c r="AK23" s="119"/>
      <c r="AL23" s="119"/>
      <c r="AM23" s="119">
        <f>AN23+AO23+AP23+AQ23</f>
        <v>0</v>
      </c>
      <c r="AN23" s="119"/>
      <c r="AO23" s="119"/>
      <c r="AP23" s="119"/>
      <c r="AQ23" s="119"/>
    </row>
    <row r="24" spans="1:43">
      <c r="A24" s="6" t="s">
        <v>22</v>
      </c>
      <c r="B24" s="229">
        <f>+K24+S24+AK24</f>
        <v>0.2</v>
      </c>
      <c r="C24" s="229">
        <f>+L24+T24+AL24</f>
        <v>10</v>
      </c>
      <c r="D24" s="229">
        <f>E24+F24+G24+H24</f>
        <v>3</v>
      </c>
      <c r="E24" s="229">
        <f t="shared" si="28"/>
        <v>1</v>
      </c>
      <c r="F24" s="229">
        <f t="shared" si="28"/>
        <v>0</v>
      </c>
      <c r="G24" s="229">
        <f t="shared" si="28"/>
        <v>0</v>
      </c>
      <c r="H24" s="229">
        <f t="shared" si="28"/>
        <v>2</v>
      </c>
      <c r="J24" s="6" t="s">
        <v>22</v>
      </c>
      <c r="K24" s="229"/>
      <c r="L24" s="229"/>
      <c r="M24" s="229">
        <f>SUM(N24:Q24)</f>
        <v>0</v>
      </c>
      <c r="N24" s="229"/>
      <c r="O24" s="229"/>
      <c r="P24" s="229"/>
      <c r="Q24" s="229"/>
      <c r="R24" s="6" t="s">
        <v>22</v>
      </c>
      <c r="S24" s="229">
        <v>0.2</v>
      </c>
      <c r="T24" s="229">
        <v>10</v>
      </c>
      <c r="U24" s="229">
        <f>V24+W24+X24+Y24</f>
        <v>3</v>
      </c>
      <c r="V24" s="229">
        <v>1</v>
      </c>
      <c r="W24" s="229"/>
      <c r="X24" s="229"/>
      <c r="Y24" s="66">
        <v>2</v>
      </c>
      <c r="Z24" s="67"/>
      <c r="AA24" s="68" t="s">
        <v>22</v>
      </c>
      <c r="AB24" s="229"/>
      <c r="AC24" s="229">
        <v>0</v>
      </c>
      <c r="AD24" s="229">
        <f>AE24+AF24+AG24+AH24</f>
        <v>0</v>
      </c>
      <c r="AE24" s="229">
        <v>0</v>
      </c>
      <c r="AF24" s="229">
        <v>0</v>
      </c>
      <c r="AG24" s="229"/>
      <c r="AH24" s="229">
        <v>0</v>
      </c>
      <c r="AJ24" s="6" t="s">
        <v>22</v>
      </c>
      <c r="AK24" s="229"/>
      <c r="AL24" s="229"/>
      <c r="AM24" s="229">
        <f>AN24+AO24+AP24+AQ24</f>
        <v>0</v>
      </c>
      <c r="AN24" s="229"/>
      <c r="AO24" s="229"/>
      <c r="AP24" s="229"/>
      <c r="AQ24" s="229"/>
    </row>
    <row r="25" spans="1:43">
      <c r="A25" s="6" t="s">
        <v>12</v>
      </c>
      <c r="B25" s="122" t="e">
        <f t="shared" ref="B25:G25" si="29">+B24/B23*100</f>
        <v>#DIV/0!</v>
      </c>
      <c r="C25" s="122" t="e">
        <f t="shared" si="29"/>
        <v>#DIV/0!</v>
      </c>
      <c r="D25" s="229" t="e">
        <f>E25+F25+G25+H25</f>
        <v>#DIV/0!</v>
      </c>
      <c r="E25" s="229" t="e">
        <f t="shared" si="29"/>
        <v>#DIV/0!</v>
      </c>
      <c r="F25" s="229" t="e">
        <f t="shared" si="29"/>
        <v>#DIV/0!</v>
      </c>
      <c r="G25" s="229" t="e">
        <f t="shared" si="29"/>
        <v>#DIV/0!</v>
      </c>
      <c r="H25" s="122" t="e">
        <f>+H24/H23*100</f>
        <v>#DIV/0!</v>
      </c>
      <c r="J25" s="6" t="s">
        <v>12</v>
      </c>
      <c r="K25" s="122" t="e">
        <f>K24/K23*100</f>
        <v>#DIV/0!</v>
      </c>
      <c r="L25" s="122" t="e">
        <f>L24/L23*100</f>
        <v>#DIV/0!</v>
      </c>
      <c r="M25" s="229" t="e">
        <f>N25+O25+P25+Q25</f>
        <v>#DIV/0!</v>
      </c>
      <c r="N25" s="122" t="e">
        <f>N24/N23*100</f>
        <v>#DIV/0!</v>
      </c>
      <c r="O25" s="122" t="e">
        <f>O24/O23*100</f>
        <v>#DIV/0!</v>
      </c>
      <c r="P25" s="122" t="e">
        <f>P24/P23*100</f>
        <v>#DIV/0!</v>
      </c>
      <c r="Q25" s="122" t="e">
        <f>Q24/Q23*100</f>
        <v>#DIV/0!</v>
      </c>
      <c r="R25" s="6" t="s">
        <v>12</v>
      </c>
      <c r="S25" s="122" t="e">
        <f t="shared" ref="S25:Y25" si="30">S24/S23*100</f>
        <v>#DIV/0!</v>
      </c>
      <c r="T25" s="122" t="e">
        <f t="shared" si="30"/>
        <v>#DIV/0!</v>
      </c>
      <c r="U25" s="122" t="e">
        <f t="shared" si="30"/>
        <v>#DIV/0!</v>
      </c>
      <c r="V25" s="122" t="e">
        <f t="shared" si="30"/>
        <v>#DIV/0!</v>
      </c>
      <c r="W25" s="122" t="e">
        <f t="shared" si="30"/>
        <v>#DIV/0!</v>
      </c>
      <c r="X25" s="122" t="e">
        <f t="shared" si="30"/>
        <v>#DIV/0!</v>
      </c>
      <c r="Y25" s="124" t="e">
        <f t="shared" si="30"/>
        <v>#DIV/0!</v>
      </c>
      <c r="Z25" s="67"/>
      <c r="AA25" s="68" t="s">
        <v>12</v>
      </c>
      <c r="AB25" s="51" t="e">
        <f t="shared" ref="AB25:AH25" si="31">AB24/AB23*100</f>
        <v>#DIV/0!</v>
      </c>
      <c r="AC25" s="51" t="e">
        <f t="shared" si="31"/>
        <v>#DIV/0!</v>
      </c>
      <c r="AD25" s="51" t="e">
        <f t="shared" si="31"/>
        <v>#DIV/0!</v>
      </c>
      <c r="AE25" s="51" t="e">
        <f t="shared" si="31"/>
        <v>#DIV/0!</v>
      </c>
      <c r="AF25" s="51" t="e">
        <f t="shared" si="31"/>
        <v>#DIV/0!</v>
      </c>
      <c r="AG25" s="51" t="e">
        <f t="shared" si="31"/>
        <v>#DIV/0!</v>
      </c>
      <c r="AH25" s="51" t="e">
        <f t="shared" si="31"/>
        <v>#DIV/0!</v>
      </c>
      <c r="AJ25" s="6" t="s">
        <v>12</v>
      </c>
      <c r="AK25" s="123" t="e">
        <f t="shared" ref="AK25:AQ25" si="32">AK24/AK23*100</f>
        <v>#DIV/0!</v>
      </c>
      <c r="AL25" s="123" t="e">
        <f t="shared" si="32"/>
        <v>#DIV/0!</v>
      </c>
      <c r="AM25" s="123" t="e">
        <f t="shared" si="32"/>
        <v>#DIV/0!</v>
      </c>
      <c r="AN25" s="123" t="e">
        <f t="shared" si="32"/>
        <v>#DIV/0!</v>
      </c>
      <c r="AO25" s="123" t="e">
        <f t="shared" si="32"/>
        <v>#DIV/0!</v>
      </c>
      <c r="AP25" s="123" t="e">
        <f t="shared" si="32"/>
        <v>#DIV/0!</v>
      </c>
      <c r="AQ25" s="123" t="e">
        <f t="shared" si="32"/>
        <v>#DIV/0!</v>
      </c>
    </row>
    <row r="26" spans="1:43" s="216" customFormat="1">
      <c r="A26" s="118" t="s">
        <v>23</v>
      </c>
      <c r="B26" s="119">
        <f>+K26+S26+AK26</f>
        <v>62.7</v>
      </c>
      <c r="C26" s="119">
        <f>+L26+T26+AL26</f>
        <v>2843</v>
      </c>
      <c r="D26" s="119">
        <f>E26+F26+G26+H26</f>
        <v>2456</v>
      </c>
      <c r="E26" s="119">
        <f t="shared" ref="E26:H27" si="33">+N26+V26+AN26</f>
        <v>461</v>
      </c>
      <c r="F26" s="119">
        <f t="shared" si="33"/>
        <v>607</v>
      </c>
      <c r="G26" s="119">
        <f t="shared" si="33"/>
        <v>62</v>
      </c>
      <c r="H26" s="119">
        <f t="shared" si="33"/>
        <v>1326</v>
      </c>
      <c r="J26" s="118" t="s">
        <v>23</v>
      </c>
      <c r="K26" s="119">
        <v>14</v>
      </c>
      <c r="L26" s="119">
        <v>440</v>
      </c>
      <c r="M26" s="119">
        <f>N26+O26+P26+Q26</f>
        <v>373</v>
      </c>
      <c r="N26" s="119">
        <v>69</v>
      </c>
      <c r="O26" s="119">
        <v>129</v>
      </c>
      <c r="P26" s="119">
        <v>27</v>
      </c>
      <c r="Q26" s="119">
        <v>148</v>
      </c>
      <c r="R26" s="118" t="s">
        <v>23</v>
      </c>
      <c r="S26" s="119">
        <v>48.7</v>
      </c>
      <c r="T26" s="119">
        <v>2400</v>
      </c>
      <c r="U26" s="119">
        <f>V26+W26+X26+Y26</f>
        <v>2081</v>
      </c>
      <c r="V26" s="119">
        <v>392</v>
      </c>
      <c r="W26" s="119">
        <v>478</v>
      </c>
      <c r="X26" s="119">
        <v>35</v>
      </c>
      <c r="Y26" s="272">
        <v>1176</v>
      </c>
      <c r="Z26" s="254"/>
      <c r="AA26" s="120" t="s">
        <v>23</v>
      </c>
      <c r="AB26" s="119">
        <v>2</v>
      </c>
      <c r="AC26" s="119">
        <v>62</v>
      </c>
      <c r="AD26" s="119">
        <f>AE26+AF26+AG26+AH26</f>
        <v>54</v>
      </c>
      <c r="AE26" s="119">
        <v>13</v>
      </c>
      <c r="AF26" s="119">
        <v>16</v>
      </c>
      <c r="AG26" s="119">
        <v>1</v>
      </c>
      <c r="AH26" s="119">
        <v>24</v>
      </c>
      <c r="AJ26" s="118" t="s">
        <v>23</v>
      </c>
      <c r="AK26" s="119"/>
      <c r="AL26" s="119">
        <v>3</v>
      </c>
      <c r="AM26" s="119">
        <f>AN26+AO26+AP26+AQ26</f>
        <v>2</v>
      </c>
      <c r="AN26" s="119"/>
      <c r="AO26" s="119"/>
      <c r="AP26" s="119"/>
      <c r="AQ26" s="119">
        <v>2</v>
      </c>
    </row>
    <row r="27" spans="1:43">
      <c r="A27" s="6" t="s">
        <v>24</v>
      </c>
      <c r="B27" s="273">
        <f>+K27+S27+AK27</f>
        <v>46.5</v>
      </c>
      <c r="C27" s="229">
        <f>+L27+T27+AL27</f>
        <v>2760</v>
      </c>
      <c r="D27" s="229">
        <f>E27+F27+G27+H27</f>
        <v>2424</v>
      </c>
      <c r="E27" s="229">
        <f t="shared" si="33"/>
        <v>522</v>
      </c>
      <c r="F27" s="229">
        <f t="shared" si="33"/>
        <v>370</v>
      </c>
      <c r="G27" s="229">
        <f t="shared" si="33"/>
        <v>28</v>
      </c>
      <c r="H27" s="229">
        <f t="shared" si="33"/>
        <v>1504</v>
      </c>
      <c r="J27" s="6" t="s">
        <v>24</v>
      </c>
      <c r="K27" s="229">
        <v>9.1</v>
      </c>
      <c r="L27" s="229">
        <v>390</v>
      </c>
      <c r="M27" s="229">
        <f>N27+O27+P27+Q27</f>
        <v>339</v>
      </c>
      <c r="N27" s="229">
        <v>12</v>
      </c>
      <c r="O27" s="229">
        <v>57</v>
      </c>
      <c r="P27" s="229">
        <v>11</v>
      </c>
      <c r="Q27" s="229">
        <v>259</v>
      </c>
      <c r="R27" s="6" t="s">
        <v>24</v>
      </c>
      <c r="S27" s="229">
        <v>37.4</v>
      </c>
      <c r="T27" s="229">
        <v>2370</v>
      </c>
      <c r="U27" s="229">
        <f>V27+W27+X27+Y27</f>
        <v>2085</v>
      </c>
      <c r="V27" s="229">
        <v>510</v>
      </c>
      <c r="W27" s="229">
        <v>313</v>
      </c>
      <c r="X27" s="229">
        <v>17</v>
      </c>
      <c r="Y27" s="229">
        <v>1245</v>
      </c>
      <c r="Z27" s="67"/>
      <c r="AA27" s="68" t="s">
        <v>24</v>
      </c>
      <c r="AB27" s="229"/>
      <c r="AC27" s="229"/>
      <c r="AD27" s="229">
        <f>AE27+AF27+AG27+AH27</f>
        <v>0</v>
      </c>
      <c r="AE27" s="229"/>
      <c r="AF27" s="229"/>
      <c r="AG27" s="229"/>
      <c r="AH27" s="229"/>
      <c r="AJ27" s="6" t="s">
        <v>24</v>
      </c>
      <c r="AK27" s="122"/>
      <c r="AL27" s="229"/>
      <c r="AM27" s="229">
        <f>AN27+AO27+AP27+AQ27</f>
        <v>0</v>
      </c>
      <c r="AN27" s="229"/>
      <c r="AO27" s="229"/>
      <c r="AP27" s="229"/>
      <c r="AQ27" s="229"/>
    </row>
    <row r="28" spans="1:43">
      <c r="A28" s="6" t="s">
        <v>12</v>
      </c>
      <c r="B28" s="51">
        <f t="shared" ref="B28:H28" si="34">B27/B26*100</f>
        <v>74.162679425837325</v>
      </c>
      <c r="C28" s="51">
        <f t="shared" si="34"/>
        <v>97.080548716144918</v>
      </c>
      <c r="D28" s="51">
        <f t="shared" si="34"/>
        <v>98.697068403908787</v>
      </c>
      <c r="E28" s="51">
        <f t="shared" si="34"/>
        <v>113.23210412147506</v>
      </c>
      <c r="F28" s="51">
        <f t="shared" si="34"/>
        <v>60.955518945634267</v>
      </c>
      <c r="G28" s="51">
        <f t="shared" si="34"/>
        <v>45.161290322580641</v>
      </c>
      <c r="H28" s="51">
        <f t="shared" si="34"/>
        <v>113.42383107088989</v>
      </c>
      <c r="I28" s="21"/>
      <c r="J28" s="6" t="s">
        <v>12</v>
      </c>
      <c r="K28" s="51">
        <f t="shared" ref="K28:Q28" si="35">K27/K26*100</f>
        <v>65</v>
      </c>
      <c r="L28" s="51">
        <f t="shared" si="35"/>
        <v>88.63636363636364</v>
      </c>
      <c r="M28" s="51">
        <f t="shared" si="35"/>
        <v>90.884718498659524</v>
      </c>
      <c r="N28" s="51">
        <f t="shared" si="35"/>
        <v>17.391304347826086</v>
      </c>
      <c r="O28" s="51">
        <f t="shared" si="35"/>
        <v>44.186046511627907</v>
      </c>
      <c r="P28" s="51">
        <f t="shared" si="35"/>
        <v>40.74074074074074</v>
      </c>
      <c r="Q28" s="51">
        <f t="shared" si="35"/>
        <v>175</v>
      </c>
      <c r="R28" s="6" t="s">
        <v>12</v>
      </c>
      <c r="S28" s="51">
        <f t="shared" ref="S28:Y28" si="36">S27/S26*100</f>
        <v>76.796714579055433</v>
      </c>
      <c r="T28" s="51">
        <f t="shared" si="36"/>
        <v>98.75</v>
      </c>
      <c r="U28" s="51">
        <f t="shared" si="36"/>
        <v>100.19221528111484</v>
      </c>
      <c r="V28" s="51">
        <f t="shared" si="36"/>
        <v>130.10204081632654</v>
      </c>
      <c r="W28" s="51">
        <f t="shared" si="36"/>
        <v>65.48117154811716</v>
      </c>
      <c r="X28" s="51">
        <f t="shared" si="36"/>
        <v>48.571428571428569</v>
      </c>
      <c r="Y28" s="121">
        <f t="shared" si="36"/>
        <v>105.86734693877551</v>
      </c>
      <c r="Z28" s="72"/>
      <c r="AA28" s="68" t="s">
        <v>12</v>
      </c>
      <c r="AB28" s="51">
        <f t="shared" ref="AB28:AH28" si="37">AB27/AB26*100</f>
        <v>0</v>
      </c>
      <c r="AC28" s="51">
        <f t="shared" si="37"/>
        <v>0</v>
      </c>
      <c r="AD28" s="51">
        <f t="shared" si="37"/>
        <v>0</v>
      </c>
      <c r="AE28" s="51">
        <f t="shared" si="37"/>
        <v>0</v>
      </c>
      <c r="AF28" s="51">
        <f t="shared" si="37"/>
        <v>0</v>
      </c>
      <c r="AG28" s="51">
        <f t="shared" si="37"/>
        <v>0</v>
      </c>
      <c r="AH28" s="51">
        <f t="shared" si="37"/>
        <v>0</v>
      </c>
      <c r="AJ28" s="6" t="s">
        <v>12</v>
      </c>
      <c r="AK28" s="51" t="e">
        <f t="shared" ref="AK28:AQ28" si="38">AK27/AK26*100</f>
        <v>#DIV/0!</v>
      </c>
      <c r="AL28" s="51">
        <f t="shared" si="38"/>
        <v>0</v>
      </c>
      <c r="AM28" s="51">
        <f t="shared" si="38"/>
        <v>0</v>
      </c>
      <c r="AN28" s="229" t="e">
        <f t="shared" si="38"/>
        <v>#DIV/0!</v>
      </c>
      <c r="AO28" s="229" t="e">
        <f t="shared" si="38"/>
        <v>#DIV/0!</v>
      </c>
      <c r="AP28" s="229" t="e">
        <f t="shared" si="38"/>
        <v>#DIV/0!</v>
      </c>
      <c r="AQ28" s="51">
        <f t="shared" si="38"/>
        <v>0</v>
      </c>
    </row>
    <row r="29" spans="1:43" s="216" customFormat="1">
      <c r="A29" s="118" t="s">
        <v>25</v>
      </c>
      <c r="B29" s="119">
        <f>+K29+S29+AK29</f>
        <v>207</v>
      </c>
      <c r="C29" s="119">
        <f>+L29+T29+AL29</f>
        <v>11043</v>
      </c>
      <c r="D29" s="119">
        <f>E29+F29+G29+H29</f>
        <v>9223</v>
      </c>
      <c r="E29" s="119">
        <f t="shared" ref="E29:H30" si="39">+N29+V29+AN29</f>
        <v>2247</v>
      </c>
      <c r="F29" s="119">
        <f t="shared" si="39"/>
        <v>2864</v>
      </c>
      <c r="G29" s="119">
        <f t="shared" si="39"/>
        <v>248</v>
      </c>
      <c r="H29" s="119">
        <f t="shared" si="39"/>
        <v>3864</v>
      </c>
      <c r="J29" s="118" t="s">
        <v>25</v>
      </c>
      <c r="K29" s="119">
        <v>59.4</v>
      </c>
      <c r="L29" s="119">
        <v>1617</v>
      </c>
      <c r="M29" s="119">
        <f>N29+O29+P29+Q29</f>
        <v>1316</v>
      </c>
      <c r="N29" s="119">
        <v>99</v>
      </c>
      <c r="O29" s="119">
        <v>419</v>
      </c>
      <c r="P29" s="119">
        <v>53</v>
      </c>
      <c r="Q29" s="119">
        <v>745</v>
      </c>
      <c r="R29" s="118" t="s">
        <v>25</v>
      </c>
      <c r="S29" s="119">
        <v>146.4</v>
      </c>
      <c r="T29" s="119">
        <v>9300</v>
      </c>
      <c r="U29" s="119">
        <f>V29+W29+X29+Y29</f>
        <v>7818</v>
      </c>
      <c r="V29" s="119">
        <v>2148</v>
      </c>
      <c r="W29" s="119">
        <v>2445</v>
      </c>
      <c r="X29" s="119">
        <v>183</v>
      </c>
      <c r="Y29" s="272">
        <v>3042</v>
      </c>
      <c r="Z29" s="254"/>
      <c r="AA29" s="120" t="s">
        <v>25</v>
      </c>
      <c r="AB29" s="119">
        <v>4.3</v>
      </c>
      <c r="AC29" s="119">
        <v>170</v>
      </c>
      <c r="AD29" s="119">
        <f>AE29+AF29+AG29+AH29</f>
        <v>143</v>
      </c>
      <c r="AE29" s="119">
        <v>42</v>
      </c>
      <c r="AF29" s="119">
        <v>46</v>
      </c>
      <c r="AG29" s="119">
        <v>4</v>
      </c>
      <c r="AH29" s="119">
        <v>51</v>
      </c>
      <c r="AJ29" s="118" t="s">
        <v>25</v>
      </c>
      <c r="AK29" s="119">
        <v>1.2</v>
      </c>
      <c r="AL29" s="119">
        <v>126</v>
      </c>
      <c r="AM29" s="119">
        <f>AN29+AO29+AP29+AQ29</f>
        <v>89</v>
      </c>
      <c r="AN29" s="119"/>
      <c r="AO29" s="119"/>
      <c r="AP29" s="119">
        <v>12</v>
      </c>
      <c r="AQ29" s="119">
        <v>77</v>
      </c>
    </row>
    <row r="30" spans="1:43">
      <c r="A30" s="6" t="s">
        <v>26</v>
      </c>
      <c r="B30" s="273">
        <f>+K30+S30+AK30</f>
        <v>174.5</v>
      </c>
      <c r="C30" s="229">
        <f>+L30+T30+AL30</f>
        <v>10840</v>
      </c>
      <c r="D30" s="229">
        <f>E30+F30+G30+H30</f>
        <v>10137</v>
      </c>
      <c r="E30" s="229">
        <f t="shared" si="39"/>
        <v>2750</v>
      </c>
      <c r="F30" s="229">
        <f t="shared" si="39"/>
        <v>1329</v>
      </c>
      <c r="G30" s="229">
        <f t="shared" si="39"/>
        <v>59</v>
      </c>
      <c r="H30" s="229">
        <f t="shared" si="39"/>
        <v>5999</v>
      </c>
      <c r="J30" s="6" t="s">
        <v>26</v>
      </c>
      <c r="K30" s="229">
        <v>18.8</v>
      </c>
      <c r="L30" s="229">
        <v>910</v>
      </c>
      <c r="M30" s="229">
        <f>N30+O30+P30+Q30</f>
        <v>859</v>
      </c>
      <c r="N30" s="229">
        <v>21</v>
      </c>
      <c r="O30" s="229">
        <v>304</v>
      </c>
      <c r="P30" s="229">
        <v>17</v>
      </c>
      <c r="Q30" s="229">
        <v>517</v>
      </c>
      <c r="R30" s="6" t="s">
        <v>26</v>
      </c>
      <c r="S30" s="229">
        <v>155.69999999999999</v>
      </c>
      <c r="T30" s="229">
        <v>9930</v>
      </c>
      <c r="U30" s="229">
        <f>V30+W30+X30+Y30</f>
        <v>9278</v>
      </c>
      <c r="V30" s="229">
        <v>2729</v>
      </c>
      <c r="W30" s="229">
        <v>1025</v>
      </c>
      <c r="X30" s="229">
        <v>42</v>
      </c>
      <c r="Y30" s="229">
        <v>5482</v>
      </c>
      <c r="Z30" s="67"/>
      <c r="AA30" s="68" t="s">
        <v>26</v>
      </c>
      <c r="AB30" s="229"/>
      <c r="AC30" s="229"/>
      <c r="AD30" s="229">
        <f>AE30+AF30+AG30+AH30</f>
        <v>0</v>
      </c>
      <c r="AE30" s="229"/>
      <c r="AF30" s="229"/>
      <c r="AG30" s="229"/>
      <c r="AH30" s="229"/>
      <c r="AJ30" s="6" t="s">
        <v>26</v>
      </c>
      <c r="AK30" s="229"/>
      <c r="AL30" s="229"/>
      <c r="AM30" s="229">
        <f>AN30+AO30+AP30+AQ30</f>
        <v>0</v>
      </c>
      <c r="AN30" s="229"/>
      <c r="AO30" s="229"/>
      <c r="AP30" s="229"/>
      <c r="AQ30" s="229"/>
    </row>
    <row r="31" spans="1:43">
      <c r="A31" s="6" t="s">
        <v>12</v>
      </c>
      <c r="B31" s="51">
        <f t="shared" ref="B31:H31" si="40">B30/B29*100</f>
        <v>84.299516908212553</v>
      </c>
      <c r="C31" s="51">
        <f t="shared" si="40"/>
        <v>98.16173141356515</v>
      </c>
      <c r="D31" s="51">
        <f t="shared" si="40"/>
        <v>109.91000758972136</v>
      </c>
      <c r="E31" s="51">
        <f t="shared" si="40"/>
        <v>122.38540275923452</v>
      </c>
      <c r="F31" s="51">
        <f t="shared" si="40"/>
        <v>46.403631284916202</v>
      </c>
      <c r="G31" s="51">
        <f t="shared" si="40"/>
        <v>23.790322580645164</v>
      </c>
      <c r="H31" s="51">
        <f t="shared" si="40"/>
        <v>155.25362318840578</v>
      </c>
      <c r="I31" s="21"/>
      <c r="J31" s="6" t="s">
        <v>12</v>
      </c>
      <c r="K31" s="51">
        <f t="shared" ref="K31:Q31" si="41">K30/K29*100</f>
        <v>31.649831649831651</v>
      </c>
      <c r="L31" s="51">
        <f t="shared" si="41"/>
        <v>56.277056277056282</v>
      </c>
      <c r="M31" s="51">
        <f t="shared" si="41"/>
        <v>65.273556231003042</v>
      </c>
      <c r="N31" s="51">
        <f t="shared" si="41"/>
        <v>21.212121212121211</v>
      </c>
      <c r="O31" s="51">
        <f t="shared" si="41"/>
        <v>72.553699284009539</v>
      </c>
      <c r="P31" s="51">
        <f t="shared" si="41"/>
        <v>32.075471698113205</v>
      </c>
      <c r="Q31" s="51">
        <f t="shared" si="41"/>
        <v>69.395973154362409</v>
      </c>
      <c r="R31" s="6" t="s">
        <v>12</v>
      </c>
      <c r="S31" s="51">
        <f t="shared" ref="S31:Y31" si="42">S30/S29*100</f>
        <v>106.35245901639342</v>
      </c>
      <c r="T31" s="51">
        <f t="shared" si="42"/>
        <v>106.77419354838709</v>
      </c>
      <c r="U31" s="51">
        <f t="shared" si="42"/>
        <v>118.6748529035559</v>
      </c>
      <c r="V31" s="51">
        <f t="shared" si="42"/>
        <v>127.04841713221602</v>
      </c>
      <c r="W31" s="51">
        <f t="shared" si="42"/>
        <v>41.922290388548056</v>
      </c>
      <c r="X31" s="51">
        <f t="shared" si="42"/>
        <v>22.950819672131146</v>
      </c>
      <c r="Y31" s="121">
        <f t="shared" si="42"/>
        <v>180.2103879026956</v>
      </c>
      <c r="Z31" s="72"/>
      <c r="AA31" s="68" t="s">
        <v>12</v>
      </c>
      <c r="AB31" s="51">
        <f t="shared" ref="AB31:AH31" si="43">AB30/AB29*100</f>
        <v>0</v>
      </c>
      <c r="AC31" s="51">
        <f t="shared" si="43"/>
        <v>0</v>
      </c>
      <c r="AD31" s="51">
        <f t="shared" si="43"/>
        <v>0</v>
      </c>
      <c r="AE31" s="51">
        <f t="shared" si="43"/>
        <v>0</v>
      </c>
      <c r="AF31" s="51">
        <f t="shared" si="43"/>
        <v>0</v>
      </c>
      <c r="AG31" s="51">
        <f t="shared" si="43"/>
        <v>0</v>
      </c>
      <c r="AH31" s="51">
        <f t="shared" si="43"/>
        <v>0</v>
      </c>
      <c r="AJ31" s="6" t="s">
        <v>12</v>
      </c>
      <c r="AK31" s="51">
        <f t="shared" ref="AK31:AQ31" si="44">AK30/AK29*100</f>
        <v>0</v>
      </c>
      <c r="AL31" s="51">
        <f t="shared" si="44"/>
        <v>0</v>
      </c>
      <c r="AM31" s="51">
        <f t="shared" si="44"/>
        <v>0</v>
      </c>
      <c r="AN31" s="51" t="e">
        <f t="shared" si="44"/>
        <v>#DIV/0!</v>
      </c>
      <c r="AO31" s="51" t="e">
        <f t="shared" si="44"/>
        <v>#DIV/0!</v>
      </c>
      <c r="AP31" s="51">
        <f t="shared" si="44"/>
        <v>0</v>
      </c>
      <c r="AQ31" s="51">
        <f t="shared" si="44"/>
        <v>0</v>
      </c>
    </row>
    <row r="32" spans="1:43" s="216" customFormat="1">
      <c r="A32" s="118" t="s">
        <v>27</v>
      </c>
      <c r="B32" s="119">
        <f>+K32+S32+AK32</f>
        <v>2.6</v>
      </c>
      <c r="C32" s="119">
        <f>+L32+T32+AL32</f>
        <v>370</v>
      </c>
      <c r="D32" s="119">
        <f>E32+F32+G32+H32</f>
        <v>323</v>
      </c>
      <c r="E32" s="119">
        <f t="shared" ref="E32:H33" si="45">+N32+V32+AN32</f>
        <v>176</v>
      </c>
      <c r="F32" s="119">
        <f t="shared" si="45"/>
        <v>103</v>
      </c>
      <c r="G32" s="119">
        <f t="shared" si="45"/>
        <v>7</v>
      </c>
      <c r="H32" s="119">
        <f t="shared" si="45"/>
        <v>37</v>
      </c>
      <c r="J32" s="118" t="s">
        <v>27</v>
      </c>
      <c r="K32" s="119"/>
      <c r="L32" s="119"/>
      <c r="M32" s="119">
        <f>N32+O32+P32+Q32</f>
        <v>0</v>
      </c>
      <c r="N32" s="119"/>
      <c r="O32" s="119"/>
      <c r="P32" s="119"/>
      <c r="Q32" s="119"/>
      <c r="R32" s="118" t="s">
        <v>27</v>
      </c>
      <c r="S32" s="119">
        <v>2.6</v>
      </c>
      <c r="T32" s="119">
        <v>370</v>
      </c>
      <c r="U32" s="119">
        <f>V32+W32+X32+Y32</f>
        <v>323</v>
      </c>
      <c r="V32" s="119">
        <v>176</v>
      </c>
      <c r="W32" s="119">
        <v>103</v>
      </c>
      <c r="X32" s="119">
        <v>7</v>
      </c>
      <c r="Y32" s="272">
        <v>37</v>
      </c>
      <c r="Z32" s="254"/>
      <c r="AA32" s="120" t="s">
        <v>27</v>
      </c>
      <c r="AB32" s="119">
        <v>2.6</v>
      </c>
      <c r="AC32" s="119">
        <v>370</v>
      </c>
      <c r="AD32" s="119">
        <f>AE32+AF32+AG32+AH32</f>
        <v>323</v>
      </c>
      <c r="AE32" s="119">
        <v>176</v>
      </c>
      <c r="AF32" s="119">
        <v>103</v>
      </c>
      <c r="AG32" s="119">
        <v>7</v>
      </c>
      <c r="AH32" s="119">
        <v>37</v>
      </c>
      <c r="AJ32" s="118" t="s">
        <v>27</v>
      </c>
      <c r="AK32" s="119"/>
      <c r="AL32" s="119"/>
      <c r="AM32" s="119">
        <f t="shared" ref="AM32:AM39" si="46">AN32+AO32+AP32+AQ32</f>
        <v>0</v>
      </c>
      <c r="AN32" s="119"/>
      <c r="AO32" s="119"/>
      <c r="AP32" s="119"/>
      <c r="AQ32" s="119"/>
    </row>
    <row r="33" spans="1:43">
      <c r="A33" s="6" t="s">
        <v>28</v>
      </c>
      <c r="B33" s="273">
        <f>+K33+S33+AK33</f>
        <v>4.4000000000000004</v>
      </c>
      <c r="C33" s="229">
        <f>+L33+T33+AL33</f>
        <v>700</v>
      </c>
      <c r="D33" s="229">
        <f>E33+F33+G33+H33</f>
        <v>652</v>
      </c>
      <c r="E33" s="229">
        <f t="shared" si="45"/>
        <v>286</v>
      </c>
      <c r="F33" s="229">
        <f t="shared" si="45"/>
        <v>115</v>
      </c>
      <c r="G33" s="229">
        <f t="shared" si="45"/>
        <v>23</v>
      </c>
      <c r="H33" s="229">
        <f t="shared" si="45"/>
        <v>228</v>
      </c>
      <c r="J33" s="6" t="s">
        <v>28</v>
      </c>
      <c r="K33" s="229"/>
      <c r="L33" s="229"/>
      <c r="M33" s="229">
        <f>SUM(N33:Q33)</f>
        <v>0</v>
      </c>
      <c r="N33" s="229"/>
      <c r="O33" s="229"/>
      <c r="P33" s="229"/>
      <c r="Q33" s="229"/>
      <c r="R33" s="6" t="s">
        <v>28</v>
      </c>
      <c r="S33" s="229">
        <v>4.4000000000000004</v>
      </c>
      <c r="T33" s="229">
        <v>700</v>
      </c>
      <c r="U33" s="229">
        <f>V33+W33+X33+Y33</f>
        <v>652</v>
      </c>
      <c r="V33" s="229">
        <v>286</v>
      </c>
      <c r="W33" s="229">
        <v>115</v>
      </c>
      <c r="X33" s="229">
        <v>23</v>
      </c>
      <c r="Y33" s="66">
        <v>228</v>
      </c>
      <c r="Z33" s="67"/>
      <c r="AA33" s="68" t="s">
        <v>28</v>
      </c>
      <c r="AB33" s="229">
        <v>4.4000000000000004</v>
      </c>
      <c r="AC33" s="229">
        <v>700</v>
      </c>
      <c r="AD33" s="229">
        <f>AE33+AF33+AG33+AH33</f>
        <v>652</v>
      </c>
      <c r="AE33" s="229">
        <v>286</v>
      </c>
      <c r="AF33" s="229">
        <v>115</v>
      </c>
      <c r="AG33" s="229">
        <v>23</v>
      </c>
      <c r="AH33" s="229">
        <v>228</v>
      </c>
      <c r="AJ33" s="6" t="s">
        <v>28</v>
      </c>
      <c r="AK33" s="229"/>
      <c r="AL33" s="229"/>
      <c r="AM33" s="229">
        <f t="shared" si="46"/>
        <v>0</v>
      </c>
      <c r="AN33" s="229"/>
      <c r="AO33" s="229"/>
      <c r="AP33" s="229"/>
      <c r="AQ33" s="229"/>
    </row>
    <row r="34" spans="1:43">
      <c r="A34" s="6" t="s">
        <v>12</v>
      </c>
      <c r="B34" s="229">
        <f t="shared" ref="B34:H34" si="47">+B33/B32*100</f>
        <v>169.23076923076923</v>
      </c>
      <c r="C34" s="123">
        <f>C33/C32*100</f>
        <v>189.18918918918919</v>
      </c>
      <c r="D34" s="122">
        <f>D33/D32*100</f>
        <v>201.8575851393189</v>
      </c>
      <c r="E34" s="123">
        <f t="shared" si="47"/>
        <v>162.5</v>
      </c>
      <c r="F34" s="123">
        <f t="shared" si="47"/>
        <v>111.65048543689321</v>
      </c>
      <c r="G34" s="123">
        <f t="shared" si="47"/>
        <v>328.57142857142856</v>
      </c>
      <c r="H34" s="123">
        <f t="shared" si="47"/>
        <v>616.21621621621625</v>
      </c>
      <c r="J34" s="6" t="s">
        <v>12</v>
      </c>
      <c r="K34" s="51" t="e">
        <f t="shared" ref="K34:Q34" si="48">K33/K32*100</f>
        <v>#DIV/0!</v>
      </c>
      <c r="L34" s="51" t="e">
        <f t="shared" si="48"/>
        <v>#DIV/0!</v>
      </c>
      <c r="M34" s="51" t="e">
        <f t="shared" si="48"/>
        <v>#DIV/0!</v>
      </c>
      <c r="N34" s="51" t="e">
        <f t="shared" si="48"/>
        <v>#DIV/0!</v>
      </c>
      <c r="O34" s="51" t="e">
        <f t="shared" si="48"/>
        <v>#DIV/0!</v>
      </c>
      <c r="P34" s="51" t="e">
        <f t="shared" si="48"/>
        <v>#DIV/0!</v>
      </c>
      <c r="Q34" s="51" t="e">
        <f t="shared" si="48"/>
        <v>#DIV/0!</v>
      </c>
      <c r="R34" s="6" t="s">
        <v>12</v>
      </c>
      <c r="S34" s="229">
        <f t="shared" ref="S34:Y34" si="49">S33/S32*100</f>
        <v>169.23076923076923</v>
      </c>
      <c r="T34" s="229">
        <f t="shared" si="49"/>
        <v>189.18918918918919</v>
      </c>
      <c r="U34" s="229">
        <f t="shared" si="49"/>
        <v>201.8575851393189</v>
      </c>
      <c r="V34" s="229">
        <f t="shared" si="49"/>
        <v>162.5</v>
      </c>
      <c r="W34" s="229">
        <f t="shared" si="49"/>
        <v>111.65048543689321</v>
      </c>
      <c r="X34" s="229">
        <f t="shared" si="49"/>
        <v>328.57142857142856</v>
      </c>
      <c r="Y34" s="66">
        <f t="shared" si="49"/>
        <v>616.21621621621625</v>
      </c>
      <c r="Z34" s="67"/>
      <c r="AA34" s="68" t="s">
        <v>12</v>
      </c>
      <c r="AB34" s="229">
        <f t="shared" ref="AB34:AH34" si="50">AB33/AB32*100</f>
        <v>169.23076923076923</v>
      </c>
      <c r="AC34" s="229">
        <f t="shared" si="50"/>
        <v>189.18918918918919</v>
      </c>
      <c r="AD34" s="229">
        <f t="shared" si="50"/>
        <v>201.8575851393189</v>
      </c>
      <c r="AE34" s="229">
        <f t="shared" si="50"/>
        <v>162.5</v>
      </c>
      <c r="AF34" s="229">
        <f t="shared" si="50"/>
        <v>111.65048543689321</v>
      </c>
      <c r="AG34" s="229">
        <f t="shared" si="50"/>
        <v>328.57142857142856</v>
      </c>
      <c r="AH34" s="229">
        <f t="shared" si="50"/>
        <v>616.21621621621625</v>
      </c>
      <c r="AJ34" s="6" t="s">
        <v>12</v>
      </c>
      <c r="AK34" s="123" t="e">
        <f t="shared" ref="AK34:AQ34" si="51">AK33/AK32*100</f>
        <v>#DIV/0!</v>
      </c>
      <c r="AL34" s="123" t="e">
        <f t="shared" si="51"/>
        <v>#DIV/0!</v>
      </c>
      <c r="AM34" s="123" t="e">
        <f t="shared" si="51"/>
        <v>#DIV/0!</v>
      </c>
      <c r="AN34" s="123" t="e">
        <f t="shared" si="51"/>
        <v>#DIV/0!</v>
      </c>
      <c r="AO34" s="123" t="e">
        <f t="shared" si="51"/>
        <v>#DIV/0!</v>
      </c>
      <c r="AP34" s="123" t="e">
        <f t="shared" si="51"/>
        <v>#DIV/0!</v>
      </c>
      <c r="AQ34" s="123" t="e">
        <f t="shared" si="51"/>
        <v>#DIV/0!</v>
      </c>
    </row>
    <row r="35" spans="1:43" s="216" customFormat="1">
      <c r="A35" s="118" t="s">
        <v>29</v>
      </c>
      <c r="B35" s="119">
        <f>+K35+S35+AK35</f>
        <v>71.100000000000009</v>
      </c>
      <c r="C35" s="119">
        <f>+L35+T35+AL35</f>
        <v>7770</v>
      </c>
      <c r="D35" s="119">
        <f>E35+F35+G35+H35</f>
        <v>6755</v>
      </c>
      <c r="E35" s="119">
        <f t="shared" ref="E35:H36" si="52">+N35+V35+AN35</f>
        <v>699</v>
      </c>
      <c r="F35" s="119">
        <f t="shared" si="52"/>
        <v>2178</v>
      </c>
      <c r="G35" s="119">
        <f t="shared" si="52"/>
        <v>310</v>
      </c>
      <c r="H35" s="119">
        <f t="shared" si="52"/>
        <v>3568</v>
      </c>
      <c r="J35" s="118" t="s">
        <v>29</v>
      </c>
      <c r="K35" s="119">
        <v>0.7</v>
      </c>
      <c r="L35" s="119">
        <v>20</v>
      </c>
      <c r="M35" s="119">
        <f>N35+O35+P35+Q35</f>
        <v>16</v>
      </c>
      <c r="N35" s="119">
        <v>1</v>
      </c>
      <c r="O35" s="119">
        <v>6</v>
      </c>
      <c r="P35" s="119"/>
      <c r="Q35" s="119">
        <v>9</v>
      </c>
      <c r="R35" s="118" t="s">
        <v>29</v>
      </c>
      <c r="S35" s="119">
        <v>70.400000000000006</v>
      </c>
      <c r="T35" s="119">
        <v>7750</v>
      </c>
      <c r="U35" s="119">
        <f>V35+W35+X35+Y35</f>
        <v>6739</v>
      </c>
      <c r="V35" s="119">
        <v>698</v>
      </c>
      <c r="W35" s="119">
        <v>2172</v>
      </c>
      <c r="X35" s="119">
        <v>310</v>
      </c>
      <c r="Y35" s="272">
        <v>3559</v>
      </c>
      <c r="Z35" s="254"/>
      <c r="AA35" s="120" t="s">
        <v>29</v>
      </c>
      <c r="AB35" s="119"/>
      <c r="AC35" s="119"/>
      <c r="AD35" s="119">
        <f>AE35+AF35+AG35+AH35</f>
        <v>0</v>
      </c>
      <c r="AE35" s="119"/>
      <c r="AF35" s="119"/>
      <c r="AG35" s="119"/>
      <c r="AH35" s="119"/>
      <c r="AJ35" s="118" t="s">
        <v>29</v>
      </c>
      <c r="AK35" s="119"/>
      <c r="AL35" s="119"/>
      <c r="AM35" s="240">
        <f t="shared" si="46"/>
        <v>0</v>
      </c>
      <c r="AN35" s="119"/>
      <c r="AO35" s="119"/>
      <c r="AP35" s="119"/>
      <c r="AQ35" s="119"/>
    </row>
    <row r="36" spans="1:43">
      <c r="A36" s="6" t="s">
        <v>30</v>
      </c>
      <c r="B36" s="273">
        <f>+K36+S36+AK36</f>
        <v>100</v>
      </c>
      <c r="C36" s="229">
        <f>+L36+T36+AL36</f>
        <v>6180</v>
      </c>
      <c r="D36" s="229">
        <f>E36+F36+G36+H36</f>
        <v>5443</v>
      </c>
      <c r="E36" s="229">
        <f t="shared" si="52"/>
        <v>306</v>
      </c>
      <c r="F36" s="229">
        <f t="shared" si="52"/>
        <v>1745</v>
      </c>
      <c r="G36" s="229">
        <f t="shared" si="52"/>
        <v>390</v>
      </c>
      <c r="H36" s="229">
        <f t="shared" si="52"/>
        <v>3002</v>
      </c>
      <c r="J36" s="6" t="s">
        <v>30</v>
      </c>
      <c r="K36" s="229">
        <v>0.3</v>
      </c>
      <c r="L36" s="229">
        <v>10</v>
      </c>
      <c r="M36" s="229">
        <f>N36+O36+P36+Q36</f>
        <v>2</v>
      </c>
      <c r="N36" s="229"/>
      <c r="O36" s="229"/>
      <c r="P36" s="229"/>
      <c r="Q36" s="229">
        <v>2</v>
      </c>
      <c r="R36" s="6" t="s">
        <v>30</v>
      </c>
      <c r="S36" s="229">
        <v>99.7</v>
      </c>
      <c r="T36" s="229">
        <v>6170</v>
      </c>
      <c r="U36" s="229">
        <f>V36+W36+X36+Y36</f>
        <v>5441</v>
      </c>
      <c r="V36" s="229">
        <v>306</v>
      </c>
      <c r="W36" s="229">
        <v>1745</v>
      </c>
      <c r="X36" s="229">
        <v>390</v>
      </c>
      <c r="Y36" s="229">
        <v>3000</v>
      </c>
      <c r="Z36" s="67"/>
      <c r="AA36" s="68" t="s">
        <v>30</v>
      </c>
      <c r="AB36" s="229"/>
      <c r="AC36" s="229"/>
      <c r="AD36" s="229">
        <f>AE36+AF36+AG36+AH36</f>
        <v>0</v>
      </c>
      <c r="AE36" s="229"/>
      <c r="AF36" s="229"/>
      <c r="AG36" s="229"/>
      <c r="AH36" s="229"/>
      <c r="AJ36" s="6" t="s">
        <v>30</v>
      </c>
      <c r="AK36" s="229"/>
      <c r="AL36" s="229"/>
      <c r="AM36" s="229">
        <f t="shared" si="46"/>
        <v>0</v>
      </c>
      <c r="AN36" s="229"/>
      <c r="AO36" s="229"/>
      <c r="AP36" s="229"/>
      <c r="AQ36" s="229"/>
    </row>
    <row r="37" spans="1:43">
      <c r="A37" s="6" t="s">
        <v>12</v>
      </c>
      <c r="B37" s="51">
        <f t="shared" ref="B37:H37" si="53">B36/B35*100</f>
        <v>140.64697609001405</v>
      </c>
      <c r="C37" s="51">
        <f t="shared" si="53"/>
        <v>79.536679536679529</v>
      </c>
      <c r="D37" s="122">
        <f t="shared" si="53"/>
        <v>80.577350111028863</v>
      </c>
      <c r="E37" s="51">
        <f t="shared" si="53"/>
        <v>43.776824034334766</v>
      </c>
      <c r="F37" s="51">
        <f t="shared" si="53"/>
        <v>80.119375573921019</v>
      </c>
      <c r="G37" s="51">
        <f t="shared" si="53"/>
        <v>125.80645161290323</v>
      </c>
      <c r="H37" s="51">
        <f t="shared" si="53"/>
        <v>84.13677130044843</v>
      </c>
      <c r="I37" s="21"/>
      <c r="J37" s="6" t="s">
        <v>12</v>
      </c>
      <c r="K37" s="51">
        <f t="shared" ref="K37:Q37" si="54">K36/K35*100</f>
        <v>42.857142857142861</v>
      </c>
      <c r="L37" s="51">
        <f t="shared" si="54"/>
        <v>50</v>
      </c>
      <c r="M37" s="51">
        <f t="shared" si="54"/>
        <v>12.5</v>
      </c>
      <c r="N37" s="51">
        <f t="shared" si="54"/>
        <v>0</v>
      </c>
      <c r="O37" s="51">
        <f t="shared" si="54"/>
        <v>0</v>
      </c>
      <c r="P37" s="51" t="e">
        <f t="shared" si="54"/>
        <v>#DIV/0!</v>
      </c>
      <c r="Q37" s="51">
        <f t="shared" si="54"/>
        <v>22.222222222222221</v>
      </c>
      <c r="R37" s="6" t="s">
        <v>12</v>
      </c>
      <c r="S37" s="51">
        <f t="shared" ref="S37:Y37" si="55">S36/S35*100</f>
        <v>141.61931818181816</v>
      </c>
      <c r="T37" s="51">
        <f t="shared" si="55"/>
        <v>79.612903225806448</v>
      </c>
      <c r="U37" s="51">
        <f t="shared" si="55"/>
        <v>80.738982044813767</v>
      </c>
      <c r="V37" s="51">
        <f t="shared" si="55"/>
        <v>43.839541547277939</v>
      </c>
      <c r="W37" s="51">
        <f t="shared" si="55"/>
        <v>80.340699815837937</v>
      </c>
      <c r="X37" s="51">
        <f t="shared" si="55"/>
        <v>125.80645161290323</v>
      </c>
      <c r="Y37" s="121">
        <f t="shared" si="55"/>
        <v>84.29334082607474</v>
      </c>
      <c r="Z37" s="72"/>
      <c r="AA37" s="68" t="s">
        <v>12</v>
      </c>
      <c r="AB37" s="229"/>
      <c r="AC37" s="229"/>
      <c r="AD37" s="229">
        <f>AE37+AF37+AG37+AH37</f>
        <v>0</v>
      </c>
      <c r="AE37" s="229"/>
      <c r="AF37" s="229"/>
      <c r="AG37" s="229"/>
      <c r="AH37" s="229"/>
      <c r="AJ37" s="6" t="s">
        <v>12</v>
      </c>
      <c r="AK37" s="123" t="e">
        <f t="shared" ref="AK37:AQ37" si="56">AK36/AK35*100</f>
        <v>#DIV/0!</v>
      </c>
      <c r="AL37" s="123" t="e">
        <f t="shared" si="56"/>
        <v>#DIV/0!</v>
      </c>
      <c r="AM37" s="123" t="e">
        <f t="shared" si="56"/>
        <v>#DIV/0!</v>
      </c>
      <c r="AN37" s="123" t="e">
        <f t="shared" si="56"/>
        <v>#DIV/0!</v>
      </c>
      <c r="AO37" s="123" t="e">
        <f t="shared" si="56"/>
        <v>#DIV/0!</v>
      </c>
      <c r="AP37" s="123" t="e">
        <f t="shared" si="56"/>
        <v>#DIV/0!</v>
      </c>
      <c r="AQ37" s="123" t="e">
        <f t="shared" si="56"/>
        <v>#DIV/0!</v>
      </c>
    </row>
    <row r="38" spans="1:43" s="216" customFormat="1">
      <c r="A38" s="118" t="s">
        <v>31</v>
      </c>
      <c r="B38" s="119">
        <f>+K38+S38+AK38</f>
        <v>103.39999999999999</v>
      </c>
      <c r="C38" s="119">
        <f>+L38+T38+AL38</f>
        <v>4904</v>
      </c>
      <c r="D38" s="119">
        <f>E38+F38+G38+H38</f>
        <v>4104</v>
      </c>
      <c r="E38" s="119">
        <f t="shared" ref="E38:H39" si="57">+N38+V38+AN38</f>
        <v>603</v>
      </c>
      <c r="F38" s="119">
        <f t="shared" si="57"/>
        <v>1450</v>
      </c>
      <c r="G38" s="119">
        <f t="shared" si="57"/>
        <v>225</v>
      </c>
      <c r="H38" s="119">
        <f t="shared" si="57"/>
        <v>1826</v>
      </c>
      <c r="J38" s="118" t="s">
        <v>31</v>
      </c>
      <c r="K38" s="119">
        <v>73.3</v>
      </c>
      <c r="L38" s="119">
        <v>2665</v>
      </c>
      <c r="M38" s="119">
        <f>N38+O38+P38+Q38</f>
        <v>2229</v>
      </c>
      <c r="N38" s="119">
        <v>287</v>
      </c>
      <c r="O38" s="119">
        <v>862</v>
      </c>
      <c r="P38" s="119">
        <v>160</v>
      </c>
      <c r="Q38" s="119">
        <v>920</v>
      </c>
      <c r="R38" s="118" t="s">
        <v>31</v>
      </c>
      <c r="S38" s="119">
        <v>29.5</v>
      </c>
      <c r="T38" s="119">
        <v>2200</v>
      </c>
      <c r="U38" s="119">
        <f>V38+W38+X38+Y38</f>
        <v>1847</v>
      </c>
      <c r="V38" s="119">
        <v>316</v>
      </c>
      <c r="W38" s="119">
        <v>588</v>
      </c>
      <c r="X38" s="119">
        <v>61</v>
      </c>
      <c r="Y38" s="272">
        <v>882</v>
      </c>
      <c r="Z38" s="254"/>
      <c r="AA38" s="120" t="s">
        <v>31</v>
      </c>
      <c r="AB38" s="119">
        <v>2.5</v>
      </c>
      <c r="AC38" s="119">
        <v>120</v>
      </c>
      <c r="AD38" s="119">
        <f>AE38+AF38+AG38+AH38</f>
        <v>101</v>
      </c>
      <c r="AE38" s="119">
        <v>17</v>
      </c>
      <c r="AF38" s="119">
        <v>22</v>
      </c>
      <c r="AG38" s="119">
        <v>2</v>
      </c>
      <c r="AH38" s="119">
        <v>60</v>
      </c>
      <c r="AJ38" s="118" t="s">
        <v>31</v>
      </c>
      <c r="AK38" s="119">
        <v>0.6</v>
      </c>
      <c r="AL38" s="119">
        <v>39</v>
      </c>
      <c r="AM38" s="229">
        <f t="shared" si="46"/>
        <v>28</v>
      </c>
      <c r="AN38" s="119"/>
      <c r="AO38" s="119"/>
      <c r="AP38" s="119">
        <v>4</v>
      </c>
      <c r="AQ38" s="119">
        <v>24</v>
      </c>
    </row>
    <row r="39" spans="1:43">
      <c r="A39" s="6" t="s">
        <v>32</v>
      </c>
      <c r="B39" s="273">
        <f>+K39+S39+AK39</f>
        <v>72.900000000000006</v>
      </c>
      <c r="C39" s="229">
        <f>+L39+T39+AL39</f>
        <v>4395</v>
      </c>
      <c r="D39" s="229">
        <f>E39+F39+G39+H39</f>
        <v>3625</v>
      </c>
      <c r="E39" s="229">
        <f t="shared" si="57"/>
        <v>486</v>
      </c>
      <c r="F39" s="229">
        <f t="shared" si="57"/>
        <v>699</v>
      </c>
      <c r="G39" s="229">
        <f t="shared" si="57"/>
        <v>81</v>
      </c>
      <c r="H39" s="229">
        <f t="shared" si="57"/>
        <v>2359</v>
      </c>
      <c r="J39" s="6" t="s">
        <v>32</v>
      </c>
      <c r="K39" s="229">
        <v>20.399999999999999</v>
      </c>
      <c r="L39" s="229">
        <v>1030</v>
      </c>
      <c r="M39" s="229">
        <f>N39+O39+P39+Q39</f>
        <v>872</v>
      </c>
      <c r="N39" s="229">
        <v>64</v>
      </c>
      <c r="O39" s="229">
        <v>197</v>
      </c>
      <c r="P39" s="229">
        <v>34</v>
      </c>
      <c r="Q39" s="229">
        <v>577</v>
      </c>
      <c r="R39" s="6" t="s">
        <v>32</v>
      </c>
      <c r="S39" s="229">
        <v>52.5</v>
      </c>
      <c r="T39" s="229">
        <v>3365</v>
      </c>
      <c r="U39" s="229">
        <f>V39+W39+X39+Y39</f>
        <v>2753</v>
      </c>
      <c r="V39" s="229">
        <v>422</v>
      </c>
      <c r="W39" s="229">
        <v>502</v>
      </c>
      <c r="X39" s="229">
        <v>47</v>
      </c>
      <c r="Y39" s="229">
        <v>1782</v>
      </c>
      <c r="Z39" s="67"/>
      <c r="AA39" s="68" t="s">
        <v>32</v>
      </c>
      <c r="AB39" s="229"/>
      <c r="AC39" s="229"/>
      <c r="AD39" s="229">
        <f>AE39+AF39+AG39+AH39</f>
        <v>0</v>
      </c>
      <c r="AE39" s="229"/>
      <c r="AF39" s="229"/>
      <c r="AG39" s="229"/>
      <c r="AH39" s="229"/>
      <c r="AJ39" s="6" t="s">
        <v>32</v>
      </c>
      <c r="AK39" s="229"/>
      <c r="AL39" s="229"/>
      <c r="AM39" s="229">
        <f t="shared" si="46"/>
        <v>0</v>
      </c>
      <c r="AN39" s="229"/>
      <c r="AO39" s="229"/>
      <c r="AP39" s="229"/>
      <c r="AQ39" s="229"/>
    </row>
    <row r="40" spans="1:43">
      <c r="A40" s="6" t="s">
        <v>12</v>
      </c>
      <c r="B40" s="51">
        <f t="shared" ref="B40:H40" si="58">B39/B38*100</f>
        <v>70.5029013539652</v>
      </c>
      <c r="C40" s="51">
        <f t="shared" si="58"/>
        <v>89.620717781402931</v>
      </c>
      <c r="D40" s="51">
        <f t="shared" si="58"/>
        <v>88.32846003898635</v>
      </c>
      <c r="E40" s="51">
        <f t="shared" si="58"/>
        <v>80.597014925373131</v>
      </c>
      <c r="F40" s="51">
        <f t="shared" si="58"/>
        <v>48.206896551724135</v>
      </c>
      <c r="G40" s="51">
        <f t="shared" si="58"/>
        <v>36</v>
      </c>
      <c r="H40" s="51">
        <f t="shared" si="58"/>
        <v>129.18948521358161</v>
      </c>
      <c r="I40" s="21"/>
      <c r="J40" s="6" t="s">
        <v>12</v>
      </c>
      <c r="K40" s="51">
        <f t="shared" ref="K40:Q40" si="59">K39/K38*100</f>
        <v>27.830832196452931</v>
      </c>
      <c r="L40" s="51">
        <f t="shared" si="59"/>
        <v>38.649155722326455</v>
      </c>
      <c r="M40" s="51">
        <f t="shared" si="59"/>
        <v>39.120681920143561</v>
      </c>
      <c r="N40" s="51">
        <f t="shared" si="59"/>
        <v>22.299651567944252</v>
      </c>
      <c r="O40" s="51">
        <f t="shared" si="59"/>
        <v>22.8538283062645</v>
      </c>
      <c r="P40" s="51">
        <f t="shared" si="59"/>
        <v>21.25</v>
      </c>
      <c r="Q40" s="51">
        <f t="shared" si="59"/>
        <v>62.717391304347828</v>
      </c>
      <c r="R40" s="6" t="s">
        <v>12</v>
      </c>
      <c r="S40" s="51">
        <f t="shared" ref="S40:Y40" si="60">S39/S38*100</f>
        <v>177.96610169491524</v>
      </c>
      <c r="T40" s="51">
        <f t="shared" si="60"/>
        <v>152.95454545454547</v>
      </c>
      <c r="U40" s="51">
        <f t="shared" si="60"/>
        <v>149.05251759610178</v>
      </c>
      <c r="V40" s="51">
        <f t="shared" si="60"/>
        <v>133.54430379746836</v>
      </c>
      <c r="W40" s="51">
        <f t="shared" si="60"/>
        <v>85.374149659863946</v>
      </c>
      <c r="X40" s="51">
        <f t="shared" si="60"/>
        <v>77.049180327868854</v>
      </c>
      <c r="Y40" s="121">
        <f t="shared" si="60"/>
        <v>202.0408163265306</v>
      </c>
      <c r="Z40" s="72"/>
      <c r="AA40" s="68" t="s">
        <v>12</v>
      </c>
      <c r="AB40" s="51">
        <f t="shared" ref="AB40:AH40" si="61">AB39/AB38*100</f>
        <v>0</v>
      </c>
      <c r="AC40" s="51">
        <f t="shared" si="61"/>
        <v>0</v>
      </c>
      <c r="AD40" s="51">
        <f t="shared" si="61"/>
        <v>0</v>
      </c>
      <c r="AE40" s="51">
        <f t="shared" si="61"/>
        <v>0</v>
      </c>
      <c r="AF40" s="51">
        <f t="shared" si="61"/>
        <v>0</v>
      </c>
      <c r="AG40" s="51">
        <f t="shared" si="61"/>
        <v>0</v>
      </c>
      <c r="AH40" s="51">
        <f t="shared" si="61"/>
        <v>0</v>
      </c>
      <c r="AI40" s="21"/>
      <c r="AJ40" s="6" t="s">
        <v>12</v>
      </c>
      <c r="AK40" s="123">
        <f t="shared" ref="AK40:AQ40" si="62">AK39/AK38*100</f>
        <v>0</v>
      </c>
      <c r="AL40" s="123">
        <f t="shared" si="62"/>
        <v>0</v>
      </c>
      <c r="AM40" s="123">
        <f t="shared" si="62"/>
        <v>0</v>
      </c>
      <c r="AN40" s="123" t="e">
        <f t="shared" si="62"/>
        <v>#DIV/0!</v>
      </c>
      <c r="AO40" s="123" t="e">
        <f t="shared" si="62"/>
        <v>#DIV/0!</v>
      </c>
      <c r="AP40" s="123">
        <f t="shared" si="62"/>
        <v>0</v>
      </c>
      <c r="AQ40" s="123">
        <f t="shared" si="62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63">K9+S9+AK9</f>
        <v>464.70000000000005</v>
      </c>
      <c r="C46" s="83">
        <f t="shared" si="63"/>
        <v>27920</v>
      </c>
      <c r="D46" s="83">
        <f t="shared" si="63"/>
        <v>23610</v>
      </c>
      <c r="E46" s="83">
        <f t="shared" si="63"/>
        <v>4377</v>
      </c>
      <c r="F46" s="83">
        <f t="shared" si="63"/>
        <v>7582</v>
      </c>
      <c r="G46" s="83">
        <f t="shared" si="63"/>
        <v>894</v>
      </c>
      <c r="H46" s="83">
        <f t="shared" si="63"/>
        <v>10757</v>
      </c>
    </row>
    <row r="47" spans="1:43">
      <c r="A47" s="84" t="s">
        <v>50</v>
      </c>
      <c r="B47" s="83">
        <f t="shared" si="63"/>
        <v>420.79999999999995</v>
      </c>
      <c r="C47" s="83">
        <f t="shared" si="63"/>
        <v>26505</v>
      </c>
      <c r="D47" s="83">
        <f t="shared" si="63"/>
        <v>23668</v>
      </c>
      <c r="E47" s="83">
        <f t="shared" si="63"/>
        <v>4558</v>
      </c>
      <c r="F47" s="83">
        <f t="shared" si="63"/>
        <v>4470</v>
      </c>
      <c r="G47" s="83">
        <f t="shared" si="63"/>
        <v>639</v>
      </c>
      <c r="H47" s="83">
        <f t="shared" si="63"/>
        <v>14001</v>
      </c>
    </row>
    <row r="48" spans="1:43">
      <c r="A48" s="85" t="s">
        <v>44</v>
      </c>
      <c r="B48" s="86">
        <f>B47/B46*100</f>
        <v>90.553044975252831</v>
      </c>
      <c r="C48" s="86">
        <f t="shared" ref="C48:H48" si="64">C47/C46*100</f>
        <v>94.931948424068764</v>
      </c>
      <c r="D48" s="86">
        <f t="shared" si="64"/>
        <v>100.24565861922913</v>
      </c>
      <c r="E48" s="86">
        <f t="shared" si="64"/>
        <v>104.13525245602011</v>
      </c>
      <c r="F48" s="86">
        <f t="shared" si="64"/>
        <v>58.955420733315748</v>
      </c>
      <c r="G48" s="86">
        <f t="shared" si="64"/>
        <v>71.476510067114091</v>
      </c>
      <c r="H48" s="86">
        <f t="shared" si="64"/>
        <v>130.15710700009296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5">K13+S13+AK13</f>
        <v>17.900000000000002</v>
      </c>
      <c r="C50" s="90">
        <f t="shared" si="65"/>
        <v>990</v>
      </c>
      <c r="D50" s="90">
        <f t="shared" si="65"/>
        <v>749</v>
      </c>
      <c r="E50" s="90">
        <f t="shared" si="65"/>
        <v>191</v>
      </c>
      <c r="F50" s="90">
        <f t="shared" si="65"/>
        <v>380</v>
      </c>
      <c r="G50" s="90">
        <f t="shared" si="65"/>
        <v>42</v>
      </c>
      <c r="H50" s="90">
        <f t="shared" si="65"/>
        <v>136</v>
      </c>
    </row>
    <row r="51" spans="1:8">
      <c r="A51" s="75" t="s">
        <v>50</v>
      </c>
      <c r="B51" s="90">
        <f t="shared" si="65"/>
        <v>22.3</v>
      </c>
      <c r="C51" s="90">
        <f t="shared" si="65"/>
        <v>1620</v>
      </c>
      <c r="D51" s="90">
        <f t="shared" si="65"/>
        <v>1384</v>
      </c>
      <c r="E51" s="90">
        <f t="shared" si="65"/>
        <v>207</v>
      </c>
      <c r="F51" s="90">
        <f t="shared" si="65"/>
        <v>212</v>
      </c>
      <c r="G51" s="90">
        <f t="shared" si="65"/>
        <v>58</v>
      </c>
      <c r="H51" s="90">
        <f t="shared" si="65"/>
        <v>907</v>
      </c>
    </row>
    <row r="52" spans="1:8">
      <c r="A52" s="75" t="s">
        <v>44</v>
      </c>
      <c r="B52" s="91">
        <f t="shared" ref="B52:H52" si="66">B51/B50*100</f>
        <v>124.58100558659217</v>
      </c>
      <c r="C52" s="91">
        <f t="shared" si="66"/>
        <v>163.63636363636365</v>
      </c>
      <c r="D52" s="91">
        <f t="shared" si="66"/>
        <v>184.77970627503336</v>
      </c>
      <c r="E52" s="91">
        <f t="shared" si="66"/>
        <v>108.37696335078535</v>
      </c>
      <c r="F52" s="91">
        <f t="shared" si="66"/>
        <v>55.78947368421052</v>
      </c>
      <c r="G52" s="91">
        <f t="shared" si="66"/>
        <v>138.0952380952381</v>
      </c>
      <c r="H52" s="91">
        <f t="shared" si="66"/>
        <v>666.91176470588232</v>
      </c>
    </row>
    <row r="53" spans="1:8">
      <c r="A53" s="75" t="s">
        <v>13</v>
      </c>
      <c r="B53" s="90">
        <f t="shared" ref="B53:H55" si="67">K16+S16+AK16</f>
        <v>0.4</v>
      </c>
      <c r="C53" s="90">
        <f t="shared" si="67"/>
        <v>20</v>
      </c>
      <c r="D53" s="90">
        <f t="shared" si="67"/>
        <v>8</v>
      </c>
      <c r="E53" s="90">
        <f t="shared" si="67"/>
        <v>1</v>
      </c>
      <c r="F53" s="90">
        <f t="shared" si="67"/>
        <v>1</v>
      </c>
      <c r="G53" s="90">
        <f t="shared" si="67"/>
        <v>0</v>
      </c>
      <c r="H53" s="90">
        <f t="shared" si="67"/>
        <v>6</v>
      </c>
    </row>
    <row r="54" spans="1:8">
      <c r="A54" s="92" t="s">
        <v>14</v>
      </c>
      <c r="B54" s="90">
        <f t="shared" si="67"/>
        <v>0</v>
      </c>
      <c r="C54" s="90">
        <f t="shared" si="67"/>
        <v>0</v>
      </c>
      <c r="D54" s="90">
        <f t="shared" si="67"/>
        <v>0</v>
      </c>
      <c r="E54" s="90">
        <f t="shared" si="67"/>
        <v>0</v>
      </c>
      <c r="F54" s="90">
        <f t="shared" si="67"/>
        <v>0</v>
      </c>
      <c r="G54" s="90">
        <f t="shared" si="67"/>
        <v>0</v>
      </c>
      <c r="H54" s="90">
        <f t="shared" si="67"/>
        <v>0</v>
      </c>
    </row>
    <row r="55" spans="1:8">
      <c r="A55" s="75" t="s">
        <v>15</v>
      </c>
      <c r="B55" s="90">
        <f t="shared" si="67"/>
        <v>0</v>
      </c>
      <c r="C55" s="90">
        <f t="shared" si="67"/>
        <v>0</v>
      </c>
      <c r="D55" s="90">
        <f t="shared" si="67"/>
        <v>0</v>
      </c>
      <c r="E55" s="90">
        <f t="shared" si="67"/>
        <v>0</v>
      </c>
      <c r="F55" s="90">
        <f t="shared" si="67"/>
        <v>0</v>
      </c>
      <c r="G55" s="90">
        <f t="shared" si="67"/>
        <v>0</v>
      </c>
      <c r="H55" s="90">
        <f t="shared" si="67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8">K20+S20+AK20</f>
        <v>446.8</v>
      </c>
      <c r="C57" s="90">
        <f t="shared" si="68"/>
        <v>26930</v>
      </c>
      <c r="D57" s="90">
        <f t="shared" si="68"/>
        <v>22861</v>
      </c>
      <c r="E57" s="90">
        <f t="shared" si="68"/>
        <v>4186</v>
      </c>
      <c r="F57" s="90">
        <f t="shared" si="68"/>
        <v>7202</v>
      </c>
      <c r="G57" s="90">
        <f t="shared" si="68"/>
        <v>852</v>
      </c>
      <c r="H57" s="90">
        <f t="shared" si="68"/>
        <v>10621</v>
      </c>
    </row>
    <row r="58" spans="1:8">
      <c r="A58" s="92" t="s">
        <v>50</v>
      </c>
      <c r="B58" s="90">
        <f t="shared" si="68"/>
        <v>398.5</v>
      </c>
      <c r="C58" s="90">
        <f t="shared" si="68"/>
        <v>24885</v>
      </c>
      <c r="D58" s="90">
        <f>M21+U21+AM21</f>
        <v>22284</v>
      </c>
      <c r="E58" s="90">
        <f t="shared" si="68"/>
        <v>4351</v>
      </c>
      <c r="F58" s="90">
        <f t="shared" si="68"/>
        <v>4258</v>
      </c>
      <c r="G58" s="90">
        <f t="shared" si="68"/>
        <v>581</v>
      </c>
      <c r="H58" s="90">
        <f t="shared" si="68"/>
        <v>13094</v>
      </c>
    </row>
    <row r="59" spans="1:8">
      <c r="A59" s="75" t="s">
        <v>44</v>
      </c>
      <c r="B59" s="91">
        <f t="shared" ref="B59:H59" si="69">B58/B57*100</f>
        <v>89.189794091316017</v>
      </c>
      <c r="C59" s="91">
        <f t="shared" si="69"/>
        <v>92.406238395841072</v>
      </c>
      <c r="D59" s="91">
        <f t="shared" si="69"/>
        <v>97.476050916407857</v>
      </c>
      <c r="E59" s="91">
        <f t="shared" si="69"/>
        <v>103.9417104634496</v>
      </c>
      <c r="F59" s="91">
        <f t="shared" si="69"/>
        <v>59.122465981671759</v>
      </c>
      <c r="G59" s="91">
        <f t="shared" si="69"/>
        <v>68.1924882629108</v>
      </c>
      <c r="H59" s="91">
        <f t="shared" si="69"/>
        <v>123.2840598813671</v>
      </c>
    </row>
    <row r="60" spans="1:8">
      <c r="A60" s="75" t="s">
        <v>21</v>
      </c>
      <c r="B60" s="90">
        <f t="shared" ref="B60:H61" si="70">K23+S23+AK23</f>
        <v>0</v>
      </c>
      <c r="C60" s="90">
        <f t="shared" si="70"/>
        <v>0</v>
      </c>
      <c r="D60" s="90">
        <f t="shared" si="70"/>
        <v>0</v>
      </c>
      <c r="E60" s="90">
        <f t="shared" si="70"/>
        <v>0</v>
      </c>
      <c r="F60" s="90">
        <f t="shared" si="70"/>
        <v>0</v>
      </c>
      <c r="G60" s="90">
        <f t="shared" si="70"/>
        <v>0</v>
      </c>
      <c r="H60" s="90">
        <f t="shared" si="70"/>
        <v>0</v>
      </c>
    </row>
    <row r="61" spans="1:8">
      <c r="A61" s="75" t="s">
        <v>51</v>
      </c>
      <c r="B61" s="90">
        <f t="shared" si="70"/>
        <v>0.2</v>
      </c>
      <c r="C61" s="90">
        <f t="shared" si="70"/>
        <v>10</v>
      </c>
      <c r="D61" s="90">
        <f t="shared" si="70"/>
        <v>3</v>
      </c>
      <c r="E61" s="90">
        <f t="shared" si="70"/>
        <v>1</v>
      </c>
      <c r="F61" s="90">
        <f t="shared" si="70"/>
        <v>0</v>
      </c>
      <c r="G61" s="90">
        <f t="shared" si="70"/>
        <v>0</v>
      </c>
      <c r="H61" s="90">
        <f t="shared" si="70"/>
        <v>2</v>
      </c>
    </row>
    <row r="62" spans="1:8">
      <c r="A62" s="75" t="s">
        <v>12</v>
      </c>
      <c r="B62" s="91" t="e">
        <f t="shared" ref="B62:H62" si="71">B61/B60*100</f>
        <v>#DIV/0!</v>
      </c>
      <c r="C62" s="91" t="e">
        <f t="shared" si="71"/>
        <v>#DIV/0!</v>
      </c>
      <c r="D62" s="91" t="e">
        <f t="shared" si="71"/>
        <v>#DIV/0!</v>
      </c>
      <c r="E62" s="91" t="e">
        <f t="shared" si="71"/>
        <v>#DIV/0!</v>
      </c>
      <c r="F62" s="91" t="e">
        <f t="shared" si="71"/>
        <v>#DIV/0!</v>
      </c>
      <c r="G62" s="91" t="e">
        <f t="shared" si="71"/>
        <v>#DIV/0!</v>
      </c>
      <c r="H62" s="91" t="e">
        <f t="shared" si="71"/>
        <v>#DIV/0!</v>
      </c>
    </row>
    <row r="63" spans="1:8">
      <c r="A63" s="75" t="s">
        <v>23</v>
      </c>
      <c r="B63" s="90">
        <f t="shared" ref="B63:H64" si="72">K26+S26+AK26</f>
        <v>62.7</v>
      </c>
      <c r="C63" s="90">
        <f t="shared" si="72"/>
        <v>2843</v>
      </c>
      <c r="D63" s="90">
        <f t="shared" si="72"/>
        <v>2456</v>
      </c>
      <c r="E63" s="90">
        <f t="shared" si="72"/>
        <v>461</v>
      </c>
      <c r="F63" s="90">
        <f t="shared" si="72"/>
        <v>607</v>
      </c>
      <c r="G63" s="90">
        <f t="shared" si="72"/>
        <v>62</v>
      </c>
      <c r="H63" s="90">
        <f t="shared" si="72"/>
        <v>1326</v>
      </c>
    </row>
    <row r="64" spans="1:8">
      <c r="A64" s="75" t="s">
        <v>45</v>
      </c>
      <c r="B64" s="90">
        <f t="shared" si="72"/>
        <v>46.5</v>
      </c>
      <c r="C64" s="90">
        <f t="shared" si="72"/>
        <v>2760</v>
      </c>
      <c r="D64" s="90">
        <f t="shared" si="72"/>
        <v>2424</v>
      </c>
      <c r="E64" s="90">
        <f t="shared" si="72"/>
        <v>522</v>
      </c>
      <c r="F64" s="90">
        <f t="shared" si="72"/>
        <v>370</v>
      </c>
      <c r="G64" s="90">
        <f t="shared" si="72"/>
        <v>28</v>
      </c>
      <c r="H64" s="90">
        <f t="shared" si="72"/>
        <v>1504</v>
      </c>
    </row>
    <row r="65" spans="1:8">
      <c r="A65" s="75" t="s">
        <v>12</v>
      </c>
      <c r="B65" s="91">
        <f t="shared" ref="B65:H65" si="73">B64/B63*100</f>
        <v>74.162679425837325</v>
      </c>
      <c r="C65" s="91">
        <f t="shared" si="73"/>
        <v>97.080548716144918</v>
      </c>
      <c r="D65" s="91">
        <f t="shared" si="73"/>
        <v>98.697068403908787</v>
      </c>
      <c r="E65" s="91">
        <f t="shared" si="73"/>
        <v>113.23210412147506</v>
      </c>
      <c r="F65" s="91">
        <f t="shared" si="73"/>
        <v>60.955518945634267</v>
      </c>
      <c r="G65" s="91">
        <f t="shared" si="73"/>
        <v>45.161290322580641</v>
      </c>
      <c r="H65" s="91">
        <f t="shared" si="73"/>
        <v>113.42383107088989</v>
      </c>
    </row>
    <row r="66" spans="1:8">
      <c r="A66" s="75" t="s">
        <v>25</v>
      </c>
      <c r="B66" s="90">
        <f t="shared" ref="B66:H67" si="74">K29+S29+AK29</f>
        <v>207</v>
      </c>
      <c r="C66" s="90">
        <f t="shared" si="74"/>
        <v>11043</v>
      </c>
      <c r="D66" s="90">
        <f t="shared" si="74"/>
        <v>9223</v>
      </c>
      <c r="E66" s="90">
        <f t="shared" si="74"/>
        <v>2247</v>
      </c>
      <c r="F66" s="90">
        <f t="shared" si="74"/>
        <v>2864</v>
      </c>
      <c r="G66" s="90">
        <f t="shared" si="74"/>
        <v>248</v>
      </c>
      <c r="H66" s="90">
        <f t="shared" si="74"/>
        <v>3864</v>
      </c>
    </row>
    <row r="67" spans="1:8">
      <c r="A67" s="75" t="s">
        <v>46</v>
      </c>
      <c r="B67" s="90">
        <f t="shared" si="74"/>
        <v>174.5</v>
      </c>
      <c r="C67" s="90">
        <f t="shared" si="74"/>
        <v>10840</v>
      </c>
      <c r="D67" s="90">
        <f t="shared" si="74"/>
        <v>10137</v>
      </c>
      <c r="E67" s="90">
        <f t="shared" si="74"/>
        <v>2750</v>
      </c>
      <c r="F67" s="90">
        <f t="shared" si="74"/>
        <v>1329</v>
      </c>
      <c r="G67" s="90">
        <f t="shared" si="74"/>
        <v>59</v>
      </c>
      <c r="H67" s="90">
        <f t="shared" si="74"/>
        <v>5999</v>
      </c>
    </row>
    <row r="68" spans="1:8">
      <c r="A68" s="75" t="s">
        <v>12</v>
      </c>
      <c r="B68" s="91">
        <f t="shared" ref="B68:H68" si="75">B67/B66*100</f>
        <v>84.299516908212553</v>
      </c>
      <c r="C68" s="91">
        <f t="shared" si="75"/>
        <v>98.16173141356515</v>
      </c>
      <c r="D68" s="91">
        <f t="shared" si="75"/>
        <v>109.91000758972136</v>
      </c>
      <c r="E68" s="91">
        <f t="shared" si="75"/>
        <v>122.38540275923452</v>
      </c>
      <c r="F68" s="91">
        <f t="shared" si="75"/>
        <v>46.403631284916202</v>
      </c>
      <c r="G68" s="91">
        <f t="shared" si="75"/>
        <v>23.790322580645164</v>
      </c>
      <c r="H68" s="91">
        <f t="shared" si="75"/>
        <v>155.25362318840578</v>
      </c>
    </row>
    <row r="69" spans="1:8">
      <c r="A69" s="75" t="s">
        <v>27</v>
      </c>
      <c r="B69" s="90">
        <f t="shared" ref="B69:H70" si="76">K32+S32+AK32</f>
        <v>2.6</v>
      </c>
      <c r="C69" s="90">
        <f t="shared" si="76"/>
        <v>370</v>
      </c>
      <c r="D69" s="90">
        <f t="shared" si="76"/>
        <v>323</v>
      </c>
      <c r="E69" s="90">
        <f t="shared" si="76"/>
        <v>176</v>
      </c>
      <c r="F69" s="90">
        <f t="shared" si="76"/>
        <v>103</v>
      </c>
      <c r="G69" s="90">
        <f t="shared" si="76"/>
        <v>7</v>
      </c>
      <c r="H69" s="90">
        <f t="shared" si="76"/>
        <v>37</v>
      </c>
    </row>
    <row r="70" spans="1:8">
      <c r="A70" s="75" t="s">
        <v>47</v>
      </c>
      <c r="B70" s="90">
        <f t="shared" si="76"/>
        <v>4.4000000000000004</v>
      </c>
      <c r="C70" s="90">
        <f t="shared" si="76"/>
        <v>700</v>
      </c>
      <c r="D70" s="90">
        <f t="shared" si="76"/>
        <v>652</v>
      </c>
      <c r="E70" s="90">
        <f t="shared" si="76"/>
        <v>286</v>
      </c>
      <c r="F70" s="90">
        <f t="shared" si="76"/>
        <v>115</v>
      </c>
      <c r="G70" s="90">
        <f t="shared" si="76"/>
        <v>23</v>
      </c>
      <c r="H70" s="90">
        <f t="shared" si="76"/>
        <v>228</v>
      </c>
    </row>
    <row r="71" spans="1:8">
      <c r="A71" s="75" t="s">
        <v>12</v>
      </c>
      <c r="B71" s="91">
        <f t="shared" ref="B71:H71" si="77">B70/B69*100</f>
        <v>169.23076923076923</v>
      </c>
      <c r="C71" s="91">
        <f t="shared" si="77"/>
        <v>189.18918918918919</v>
      </c>
      <c r="D71" s="91">
        <f t="shared" si="77"/>
        <v>201.8575851393189</v>
      </c>
      <c r="E71" s="91">
        <f t="shared" si="77"/>
        <v>162.5</v>
      </c>
      <c r="F71" s="91">
        <f t="shared" si="77"/>
        <v>111.65048543689321</v>
      </c>
      <c r="G71" s="91">
        <f t="shared" si="77"/>
        <v>328.57142857142856</v>
      </c>
      <c r="H71" s="91">
        <f t="shared" si="77"/>
        <v>616.21621621621625</v>
      </c>
    </row>
    <row r="72" spans="1:8">
      <c r="A72" s="75" t="s">
        <v>29</v>
      </c>
      <c r="B72" s="90">
        <f t="shared" ref="B72:H73" si="78">K35+S35+AK35</f>
        <v>71.100000000000009</v>
      </c>
      <c r="C72" s="90">
        <f t="shared" si="78"/>
        <v>7770</v>
      </c>
      <c r="D72" s="90">
        <f t="shared" si="78"/>
        <v>6755</v>
      </c>
      <c r="E72" s="90">
        <f t="shared" si="78"/>
        <v>699</v>
      </c>
      <c r="F72" s="90">
        <f t="shared" si="78"/>
        <v>2178</v>
      </c>
      <c r="G72" s="90">
        <f t="shared" si="78"/>
        <v>310</v>
      </c>
      <c r="H72" s="90">
        <f t="shared" si="78"/>
        <v>3568</v>
      </c>
    </row>
    <row r="73" spans="1:8">
      <c r="A73" s="75" t="s">
        <v>48</v>
      </c>
      <c r="B73" s="90">
        <f t="shared" si="78"/>
        <v>100</v>
      </c>
      <c r="C73" s="90">
        <f t="shared" si="78"/>
        <v>6180</v>
      </c>
      <c r="D73" s="90">
        <f t="shared" si="78"/>
        <v>5443</v>
      </c>
      <c r="E73" s="90">
        <f t="shared" si="78"/>
        <v>306</v>
      </c>
      <c r="F73" s="90">
        <f t="shared" si="78"/>
        <v>1745</v>
      </c>
      <c r="G73" s="90">
        <f t="shared" si="78"/>
        <v>390</v>
      </c>
      <c r="H73" s="90">
        <f t="shared" si="78"/>
        <v>3002</v>
      </c>
    </row>
    <row r="74" spans="1:8">
      <c r="A74" s="75" t="s">
        <v>12</v>
      </c>
      <c r="B74" s="91">
        <f t="shared" ref="B74:H74" si="79">B73/B72*100</f>
        <v>140.64697609001405</v>
      </c>
      <c r="C74" s="91">
        <f t="shared" si="79"/>
        <v>79.536679536679529</v>
      </c>
      <c r="D74" s="91">
        <f t="shared" si="79"/>
        <v>80.577350111028863</v>
      </c>
      <c r="E74" s="91">
        <f t="shared" si="79"/>
        <v>43.776824034334766</v>
      </c>
      <c r="F74" s="91">
        <f t="shared" si="79"/>
        <v>80.119375573921019</v>
      </c>
      <c r="G74" s="91">
        <f t="shared" si="79"/>
        <v>125.80645161290323</v>
      </c>
      <c r="H74" s="91">
        <f t="shared" si="79"/>
        <v>84.13677130044843</v>
      </c>
    </row>
    <row r="75" spans="1:8">
      <c r="A75" s="75" t="s">
        <v>31</v>
      </c>
      <c r="B75" s="90">
        <f t="shared" ref="B75:H76" si="80">K38+S38+AK38</f>
        <v>103.39999999999999</v>
      </c>
      <c r="C75" s="90">
        <f t="shared" si="80"/>
        <v>4904</v>
      </c>
      <c r="D75" s="90">
        <f t="shared" si="80"/>
        <v>4104</v>
      </c>
      <c r="E75" s="90">
        <f t="shared" si="80"/>
        <v>603</v>
      </c>
      <c r="F75" s="90">
        <f t="shared" si="80"/>
        <v>1450</v>
      </c>
      <c r="G75" s="90">
        <f t="shared" si="80"/>
        <v>225</v>
      </c>
      <c r="H75" s="90">
        <f t="shared" si="80"/>
        <v>1826</v>
      </c>
    </row>
    <row r="76" spans="1:8">
      <c r="A76" s="75" t="s">
        <v>52</v>
      </c>
      <c r="B76" s="90">
        <f t="shared" si="80"/>
        <v>72.900000000000006</v>
      </c>
      <c r="C76" s="90">
        <f t="shared" si="80"/>
        <v>4395</v>
      </c>
      <c r="D76" s="90">
        <f t="shared" si="80"/>
        <v>3625</v>
      </c>
      <c r="E76" s="90">
        <f t="shared" si="80"/>
        <v>486</v>
      </c>
      <c r="F76" s="90">
        <f t="shared" si="80"/>
        <v>699</v>
      </c>
      <c r="G76" s="90">
        <f t="shared" si="80"/>
        <v>81</v>
      </c>
      <c r="H76" s="90">
        <f t="shared" si="80"/>
        <v>2359</v>
      </c>
    </row>
    <row r="77" spans="1:8">
      <c r="A77" s="75" t="s">
        <v>12</v>
      </c>
      <c r="B77" s="91">
        <f t="shared" ref="B77:H77" si="81">B76/B75*100</f>
        <v>70.5029013539652</v>
      </c>
      <c r="C77" s="91">
        <f t="shared" si="81"/>
        <v>89.620717781402931</v>
      </c>
      <c r="D77" s="91">
        <f t="shared" si="81"/>
        <v>88.32846003898635</v>
      </c>
      <c r="E77" s="91">
        <f t="shared" si="81"/>
        <v>80.597014925373131</v>
      </c>
      <c r="F77" s="91">
        <f t="shared" si="81"/>
        <v>48.206896551724135</v>
      </c>
      <c r="G77" s="91">
        <f t="shared" si="81"/>
        <v>36</v>
      </c>
      <c r="H77" s="91">
        <f t="shared" si="81"/>
        <v>129.18948521358161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2">B9-B46</f>
        <v>0</v>
      </c>
      <c r="C83" s="83">
        <f t="shared" si="82"/>
        <v>0</v>
      </c>
      <c r="D83" s="83">
        <f t="shared" si="82"/>
        <v>0</v>
      </c>
      <c r="E83" s="83">
        <f t="shared" si="82"/>
        <v>0</v>
      </c>
      <c r="F83" s="83">
        <f t="shared" si="82"/>
        <v>0</v>
      </c>
      <c r="G83" s="83">
        <f t="shared" si="82"/>
        <v>0</v>
      </c>
      <c r="H83" s="83">
        <f t="shared" si="82"/>
        <v>0</v>
      </c>
    </row>
    <row r="84" spans="1:8">
      <c r="A84" s="84" t="s">
        <v>50</v>
      </c>
      <c r="B84" s="83">
        <f t="shared" si="82"/>
        <v>0</v>
      </c>
      <c r="C84" s="83">
        <f t="shared" si="82"/>
        <v>0</v>
      </c>
      <c r="D84" s="83">
        <f t="shared" si="82"/>
        <v>0</v>
      </c>
      <c r="E84" s="83">
        <f t="shared" si="82"/>
        <v>0</v>
      </c>
      <c r="F84" s="83">
        <f t="shared" si="82"/>
        <v>0</v>
      </c>
      <c r="G84" s="83">
        <f t="shared" si="82"/>
        <v>0</v>
      </c>
      <c r="H84" s="83">
        <f t="shared" si="82"/>
        <v>0</v>
      </c>
    </row>
    <row r="85" spans="1:8">
      <c r="A85" s="85" t="s">
        <v>44</v>
      </c>
      <c r="B85" s="83">
        <f t="shared" si="82"/>
        <v>0</v>
      </c>
      <c r="C85" s="83">
        <f t="shared" si="82"/>
        <v>0</v>
      </c>
      <c r="D85" s="83">
        <f t="shared" si="82"/>
        <v>0</v>
      </c>
      <c r="E85" s="83">
        <f t="shared" si="82"/>
        <v>0</v>
      </c>
      <c r="F85" s="83">
        <f t="shared" si="82"/>
        <v>0</v>
      </c>
      <c r="G85" s="83">
        <f t="shared" si="82"/>
        <v>0</v>
      </c>
      <c r="H85" s="83">
        <f t="shared" si="82"/>
        <v>0</v>
      </c>
    </row>
    <row r="86" spans="1:8">
      <c r="A86" s="87" t="s">
        <v>11</v>
      </c>
      <c r="B86" s="83">
        <f t="shared" si="82"/>
        <v>0</v>
      </c>
      <c r="C86" s="83">
        <f t="shared" si="82"/>
        <v>0</v>
      </c>
      <c r="D86" s="83">
        <f t="shared" si="82"/>
        <v>0</v>
      </c>
      <c r="E86" s="83">
        <f t="shared" si="82"/>
        <v>0</v>
      </c>
      <c r="F86" s="83">
        <f t="shared" si="82"/>
        <v>0</v>
      </c>
      <c r="G86" s="83">
        <f t="shared" si="82"/>
        <v>0</v>
      </c>
      <c r="H86" s="83">
        <f t="shared" si="82"/>
        <v>0</v>
      </c>
    </row>
    <row r="87" spans="1:8">
      <c r="A87" s="75" t="s">
        <v>40</v>
      </c>
      <c r="B87" s="83">
        <f t="shared" si="82"/>
        <v>0</v>
      </c>
      <c r="C87" s="83">
        <f t="shared" si="82"/>
        <v>0</v>
      </c>
      <c r="D87" s="83">
        <f t="shared" si="82"/>
        <v>0</v>
      </c>
      <c r="E87" s="83">
        <f t="shared" si="82"/>
        <v>0</v>
      </c>
      <c r="F87" s="83">
        <f t="shared" si="82"/>
        <v>0</v>
      </c>
      <c r="G87" s="83">
        <f t="shared" si="82"/>
        <v>0</v>
      </c>
      <c r="H87" s="83">
        <f t="shared" si="82"/>
        <v>0</v>
      </c>
    </row>
    <row r="88" spans="1:8">
      <c r="A88" s="75" t="s">
        <v>50</v>
      </c>
      <c r="B88" s="83">
        <f t="shared" si="82"/>
        <v>0</v>
      </c>
      <c r="C88" s="83">
        <f t="shared" si="82"/>
        <v>0</v>
      </c>
      <c r="D88" s="83">
        <f t="shared" si="82"/>
        <v>0</v>
      </c>
      <c r="E88" s="83">
        <f t="shared" si="82"/>
        <v>0</v>
      </c>
      <c r="F88" s="83">
        <f t="shared" si="82"/>
        <v>0</v>
      </c>
      <c r="G88" s="83">
        <f t="shared" si="82"/>
        <v>0</v>
      </c>
      <c r="H88" s="83">
        <f t="shared" si="82"/>
        <v>0</v>
      </c>
    </row>
    <row r="89" spans="1:8">
      <c r="A89" s="75" t="s">
        <v>44</v>
      </c>
      <c r="B89" s="83">
        <f t="shared" si="82"/>
        <v>0</v>
      </c>
      <c r="C89" s="83">
        <f t="shared" si="82"/>
        <v>0</v>
      </c>
      <c r="D89" s="83">
        <f t="shared" si="82"/>
        <v>0</v>
      </c>
      <c r="E89" s="83">
        <f t="shared" si="82"/>
        <v>0</v>
      </c>
      <c r="F89" s="83">
        <f t="shared" si="82"/>
        <v>0</v>
      </c>
      <c r="G89" s="83">
        <f t="shared" si="82"/>
        <v>0</v>
      </c>
      <c r="H89" s="83">
        <f t="shared" si="82"/>
        <v>0</v>
      </c>
    </row>
    <row r="90" spans="1:8">
      <c r="A90" s="75" t="s">
        <v>13</v>
      </c>
      <c r="B90" s="83">
        <f t="shared" si="82"/>
        <v>0</v>
      </c>
      <c r="C90" s="83">
        <f t="shared" si="82"/>
        <v>0</v>
      </c>
      <c r="D90" s="83">
        <f t="shared" si="82"/>
        <v>0</v>
      </c>
      <c r="E90" s="83">
        <f t="shared" si="82"/>
        <v>0</v>
      </c>
      <c r="F90" s="83">
        <f t="shared" si="82"/>
        <v>0</v>
      </c>
      <c r="G90" s="83">
        <f t="shared" si="82"/>
        <v>0</v>
      </c>
      <c r="H90" s="83">
        <f t="shared" si="82"/>
        <v>0</v>
      </c>
    </row>
    <row r="91" spans="1:8">
      <c r="A91" s="92" t="s">
        <v>14</v>
      </c>
      <c r="B91" s="83">
        <f t="shared" si="82"/>
        <v>0</v>
      </c>
      <c r="C91" s="83">
        <f t="shared" si="82"/>
        <v>0</v>
      </c>
      <c r="D91" s="83">
        <f t="shared" si="82"/>
        <v>0</v>
      </c>
      <c r="E91" s="83">
        <f t="shared" si="82"/>
        <v>0</v>
      </c>
      <c r="F91" s="83">
        <f t="shared" si="82"/>
        <v>0</v>
      </c>
      <c r="G91" s="83">
        <f t="shared" si="82"/>
        <v>0</v>
      </c>
      <c r="H91" s="83">
        <f t="shared" si="82"/>
        <v>0</v>
      </c>
    </row>
    <row r="92" spans="1:8">
      <c r="A92" s="75" t="s">
        <v>15</v>
      </c>
      <c r="B92" s="83">
        <f t="shared" si="82"/>
        <v>0</v>
      </c>
      <c r="C92" s="83">
        <f t="shared" si="82"/>
        <v>0</v>
      </c>
      <c r="D92" s="83">
        <f t="shared" si="82"/>
        <v>0</v>
      </c>
      <c r="E92" s="83">
        <f t="shared" si="82"/>
        <v>0</v>
      </c>
      <c r="F92" s="83">
        <f t="shared" si="82"/>
        <v>0</v>
      </c>
      <c r="G92" s="83">
        <f t="shared" si="82"/>
        <v>0</v>
      </c>
      <c r="H92" s="83">
        <f t="shared" si="82"/>
        <v>0</v>
      </c>
    </row>
    <row r="93" spans="1:8">
      <c r="A93" s="87" t="s">
        <v>16</v>
      </c>
      <c r="B93" s="83">
        <f t="shared" si="82"/>
        <v>0</v>
      </c>
      <c r="C93" s="83">
        <f t="shared" si="82"/>
        <v>0</v>
      </c>
      <c r="D93" s="83">
        <f t="shared" si="82"/>
        <v>0</v>
      </c>
      <c r="E93" s="83">
        <f t="shared" si="82"/>
        <v>0</v>
      </c>
      <c r="F93" s="83">
        <f t="shared" si="82"/>
        <v>0</v>
      </c>
      <c r="G93" s="83">
        <f t="shared" si="82"/>
        <v>0</v>
      </c>
      <c r="H93" s="83">
        <f t="shared" si="82"/>
        <v>0</v>
      </c>
    </row>
    <row r="94" spans="1:8">
      <c r="A94" s="75" t="s">
        <v>40</v>
      </c>
      <c r="B94" s="83">
        <f t="shared" si="82"/>
        <v>0</v>
      </c>
      <c r="C94" s="83">
        <f t="shared" si="82"/>
        <v>0</v>
      </c>
      <c r="D94" s="83">
        <f t="shared" si="82"/>
        <v>0</v>
      </c>
      <c r="E94" s="83">
        <f t="shared" si="82"/>
        <v>0</v>
      </c>
      <c r="F94" s="83">
        <f t="shared" si="82"/>
        <v>0</v>
      </c>
      <c r="G94" s="83">
        <f t="shared" si="82"/>
        <v>0</v>
      </c>
      <c r="H94" s="83">
        <f t="shared" si="82"/>
        <v>0</v>
      </c>
    </row>
    <row r="95" spans="1:8">
      <c r="A95" s="92" t="s">
        <v>50</v>
      </c>
      <c r="B95" s="83">
        <f t="shared" si="82"/>
        <v>0</v>
      </c>
      <c r="C95" s="83">
        <f t="shared" si="82"/>
        <v>0</v>
      </c>
      <c r="D95" s="83">
        <f t="shared" si="82"/>
        <v>0</v>
      </c>
      <c r="E95" s="83">
        <f t="shared" si="82"/>
        <v>0</v>
      </c>
      <c r="F95" s="83">
        <f t="shared" si="82"/>
        <v>0</v>
      </c>
      <c r="G95" s="83">
        <f t="shared" si="82"/>
        <v>0</v>
      </c>
      <c r="H95" s="83">
        <f t="shared" si="82"/>
        <v>0</v>
      </c>
    </row>
    <row r="96" spans="1:8">
      <c r="A96" s="75" t="s">
        <v>44</v>
      </c>
      <c r="B96" s="83">
        <f t="shared" si="82"/>
        <v>0</v>
      </c>
      <c r="C96" s="83">
        <f t="shared" si="82"/>
        <v>0</v>
      </c>
      <c r="D96" s="83">
        <f t="shared" si="82"/>
        <v>0</v>
      </c>
      <c r="E96" s="83">
        <f t="shared" si="82"/>
        <v>0</v>
      </c>
      <c r="F96" s="83">
        <f t="shared" si="82"/>
        <v>0</v>
      </c>
      <c r="G96" s="83">
        <f t="shared" si="82"/>
        <v>0</v>
      </c>
      <c r="H96" s="83">
        <f t="shared" si="82"/>
        <v>0</v>
      </c>
    </row>
    <row r="97" spans="1:8">
      <c r="A97" s="75" t="s">
        <v>21</v>
      </c>
      <c r="B97" s="83">
        <f t="shared" si="82"/>
        <v>0</v>
      </c>
      <c r="C97" s="83">
        <f t="shared" si="82"/>
        <v>0</v>
      </c>
      <c r="D97" s="83">
        <f t="shared" si="82"/>
        <v>0</v>
      </c>
      <c r="E97" s="83">
        <f t="shared" si="82"/>
        <v>0</v>
      </c>
      <c r="F97" s="83">
        <f t="shared" si="82"/>
        <v>0</v>
      </c>
      <c r="G97" s="83">
        <f t="shared" si="82"/>
        <v>0</v>
      </c>
      <c r="H97" s="83">
        <f t="shared" si="82"/>
        <v>0</v>
      </c>
    </row>
    <row r="98" spans="1:8">
      <c r="A98" s="75" t="s">
        <v>51</v>
      </c>
      <c r="B98" s="83">
        <f t="shared" si="82"/>
        <v>0</v>
      </c>
      <c r="C98" s="83">
        <f t="shared" si="82"/>
        <v>0</v>
      </c>
      <c r="D98" s="83">
        <f t="shared" si="82"/>
        <v>0</v>
      </c>
      <c r="E98" s="83">
        <f t="shared" si="82"/>
        <v>0</v>
      </c>
      <c r="F98" s="83">
        <f t="shared" si="82"/>
        <v>0</v>
      </c>
      <c r="G98" s="83">
        <f t="shared" si="82"/>
        <v>0</v>
      </c>
      <c r="H98" s="83">
        <f t="shared" si="82"/>
        <v>0</v>
      </c>
    </row>
    <row r="99" spans="1:8">
      <c r="A99" s="75" t="s">
        <v>12</v>
      </c>
      <c r="B99" s="83" t="e">
        <f t="shared" ref="B99:H114" si="83">B25-B62</f>
        <v>#DIV/0!</v>
      </c>
      <c r="C99" s="83" t="e">
        <f t="shared" si="83"/>
        <v>#DIV/0!</v>
      </c>
      <c r="D99" s="83" t="e">
        <f t="shared" si="83"/>
        <v>#DIV/0!</v>
      </c>
      <c r="E99" s="83" t="e">
        <f t="shared" si="83"/>
        <v>#DIV/0!</v>
      </c>
      <c r="F99" s="83" t="e">
        <f t="shared" si="83"/>
        <v>#DIV/0!</v>
      </c>
      <c r="G99" s="83" t="e">
        <f t="shared" si="83"/>
        <v>#DIV/0!</v>
      </c>
      <c r="H99" s="83" t="e">
        <f t="shared" si="83"/>
        <v>#DIV/0!</v>
      </c>
    </row>
    <row r="100" spans="1:8">
      <c r="A100" s="75" t="s">
        <v>23</v>
      </c>
      <c r="B100" s="83">
        <f t="shared" si="83"/>
        <v>0</v>
      </c>
      <c r="C100" s="83">
        <f t="shared" si="83"/>
        <v>0</v>
      </c>
      <c r="D100" s="83">
        <f t="shared" si="83"/>
        <v>0</v>
      </c>
      <c r="E100" s="83">
        <f t="shared" si="83"/>
        <v>0</v>
      </c>
      <c r="F100" s="83">
        <f t="shared" si="83"/>
        <v>0</v>
      </c>
      <c r="G100" s="83">
        <f t="shared" si="83"/>
        <v>0</v>
      </c>
      <c r="H100" s="83">
        <f t="shared" si="83"/>
        <v>0</v>
      </c>
    </row>
    <row r="101" spans="1:8">
      <c r="A101" s="75" t="s">
        <v>45</v>
      </c>
      <c r="B101" s="83">
        <f t="shared" si="83"/>
        <v>0</v>
      </c>
      <c r="C101" s="83">
        <f t="shared" si="83"/>
        <v>0</v>
      </c>
      <c r="D101" s="83">
        <f t="shared" si="83"/>
        <v>0</v>
      </c>
      <c r="E101" s="83">
        <f t="shared" si="83"/>
        <v>0</v>
      </c>
      <c r="F101" s="83">
        <f t="shared" si="83"/>
        <v>0</v>
      </c>
      <c r="G101" s="83">
        <f t="shared" si="83"/>
        <v>0</v>
      </c>
      <c r="H101" s="83">
        <f t="shared" si="83"/>
        <v>0</v>
      </c>
    </row>
    <row r="102" spans="1:8">
      <c r="A102" s="75" t="s">
        <v>12</v>
      </c>
      <c r="B102" s="83">
        <f t="shared" si="83"/>
        <v>0</v>
      </c>
      <c r="C102" s="83">
        <f t="shared" si="83"/>
        <v>0</v>
      </c>
      <c r="D102" s="83">
        <f t="shared" si="83"/>
        <v>0</v>
      </c>
      <c r="E102" s="83">
        <f t="shared" si="83"/>
        <v>0</v>
      </c>
      <c r="F102" s="83">
        <f t="shared" si="83"/>
        <v>0</v>
      </c>
      <c r="G102" s="83">
        <f t="shared" si="83"/>
        <v>0</v>
      </c>
      <c r="H102" s="83">
        <f t="shared" si="83"/>
        <v>0</v>
      </c>
    </row>
    <row r="103" spans="1:8">
      <c r="A103" s="75" t="s">
        <v>25</v>
      </c>
      <c r="B103" s="83">
        <f t="shared" si="83"/>
        <v>0</v>
      </c>
      <c r="C103" s="83">
        <f t="shared" si="83"/>
        <v>0</v>
      </c>
      <c r="D103" s="83">
        <f t="shared" si="83"/>
        <v>0</v>
      </c>
      <c r="E103" s="83">
        <f t="shared" si="83"/>
        <v>0</v>
      </c>
      <c r="F103" s="83">
        <f t="shared" si="83"/>
        <v>0</v>
      </c>
      <c r="G103" s="83">
        <f t="shared" si="83"/>
        <v>0</v>
      </c>
      <c r="H103" s="83">
        <f t="shared" si="83"/>
        <v>0</v>
      </c>
    </row>
    <row r="104" spans="1:8">
      <c r="A104" s="75" t="s">
        <v>46</v>
      </c>
      <c r="B104" s="83">
        <f t="shared" si="83"/>
        <v>0</v>
      </c>
      <c r="C104" s="83">
        <f t="shared" si="83"/>
        <v>0</v>
      </c>
      <c r="D104" s="83">
        <f t="shared" si="83"/>
        <v>0</v>
      </c>
      <c r="E104" s="83">
        <f t="shared" si="83"/>
        <v>0</v>
      </c>
      <c r="F104" s="83">
        <f t="shared" si="83"/>
        <v>0</v>
      </c>
      <c r="G104" s="83">
        <f t="shared" si="83"/>
        <v>0</v>
      </c>
      <c r="H104" s="83">
        <f t="shared" si="83"/>
        <v>0</v>
      </c>
    </row>
    <row r="105" spans="1:8">
      <c r="A105" s="75" t="s">
        <v>12</v>
      </c>
      <c r="B105" s="83">
        <f t="shared" si="83"/>
        <v>0</v>
      </c>
      <c r="C105" s="83">
        <f t="shared" si="83"/>
        <v>0</v>
      </c>
      <c r="D105" s="83">
        <f t="shared" si="83"/>
        <v>0</v>
      </c>
      <c r="E105" s="83">
        <f t="shared" si="83"/>
        <v>0</v>
      </c>
      <c r="F105" s="83">
        <f t="shared" si="83"/>
        <v>0</v>
      </c>
      <c r="G105" s="83">
        <f t="shared" si="83"/>
        <v>0</v>
      </c>
      <c r="H105" s="83">
        <f t="shared" si="83"/>
        <v>0</v>
      </c>
    </row>
    <row r="106" spans="1:8">
      <c r="A106" s="75" t="s">
        <v>27</v>
      </c>
      <c r="B106" s="83">
        <f t="shared" si="83"/>
        <v>0</v>
      </c>
      <c r="C106" s="83">
        <f t="shared" si="83"/>
        <v>0</v>
      </c>
      <c r="D106" s="83">
        <f t="shared" si="83"/>
        <v>0</v>
      </c>
      <c r="E106" s="83">
        <f t="shared" si="83"/>
        <v>0</v>
      </c>
      <c r="F106" s="83">
        <f t="shared" si="83"/>
        <v>0</v>
      </c>
      <c r="G106" s="83">
        <f t="shared" si="83"/>
        <v>0</v>
      </c>
      <c r="H106" s="83">
        <f t="shared" si="83"/>
        <v>0</v>
      </c>
    </row>
    <row r="107" spans="1:8">
      <c r="A107" s="75" t="s">
        <v>47</v>
      </c>
      <c r="B107" s="83">
        <f t="shared" si="83"/>
        <v>0</v>
      </c>
      <c r="C107" s="83">
        <f t="shared" si="83"/>
        <v>0</v>
      </c>
      <c r="D107" s="83">
        <f t="shared" si="83"/>
        <v>0</v>
      </c>
      <c r="E107" s="83">
        <f t="shared" si="83"/>
        <v>0</v>
      </c>
      <c r="F107" s="83">
        <f t="shared" si="83"/>
        <v>0</v>
      </c>
      <c r="G107" s="83">
        <f t="shared" si="83"/>
        <v>0</v>
      </c>
      <c r="H107" s="83">
        <f t="shared" si="83"/>
        <v>0</v>
      </c>
    </row>
    <row r="108" spans="1:8">
      <c r="A108" s="75" t="s">
        <v>12</v>
      </c>
      <c r="B108" s="83">
        <f t="shared" si="83"/>
        <v>0</v>
      </c>
      <c r="C108" s="83">
        <f t="shared" si="83"/>
        <v>0</v>
      </c>
      <c r="D108" s="83">
        <f t="shared" si="83"/>
        <v>0</v>
      </c>
      <c r="E108" s="83">
        <f t="shared" si="83"/>
        <v>0</v>
      </c>
      <c r="F108" s="83">
        <f t="shared" si="83"/>
        <v>0</v>
      </c>
      <c r="G108" s="83">
        <f t="shared" si="83"/>
        <v>0</v>
      </c>
      <c r="H108" s="83">
        <f t="shared" si="83"/>
        <v>0</v>
      </c>
    </row>
    <row r="109" spans="1:8">
      <c r="A109" s="75" t="s">
        <v>29</v>
      </c>
      <c r="B109" s="83">
        <f t="shared" si="83"/>
        <v>0</v>
      </c>
      <c r="C109" s="83">
        <f t="shared" si="83"/>
        <v>0</v>
      </c>
      <c r="D109" s="83">
        <f t="shared" si="83"/>
        <v>0</v>
      </c>
      <c r="E109" s="83">
        <f t="shared" si="83"/>
        <v>0</v>
      </c>
      <c r="F109" s="83">
        <f t="shared" si="83"/>
        <v>0</v>
      </c>
      <c r="G109" s="83">
        <f t="shared" si="83"/>
        <v>0</v>
      </c>
      <c r="H109" s="83">
        <f t="shared" si="83"/>
        <v>0</v>
      </c>
    </row>
    <row r="110" spans="1:8">
      <c r="A110" s="75" t="s">
        <v>48</v>
      </c>
      <c r="B110" s="83">
        <f t="shared" si="83"/>
        <v>0</v>
      </c>
      <c r="C110" s="83">
        <f t="shared" si="83"/>
        <v>0</v>
      </c>
      <c r="D110" s="83">
        <f t="shared" si="83"/>
        <v>0</v>
      </c>
      <c r="E110" s="83">
        <f t="shared" si="83"/>
        <v>0</v>
      </c>
      <c r="F110" s="83">
        <f t="shared" si="83"/>
        <v>0</v>
      </c>
      <c r="G110" s="83">
        <f t="shared" si="83"/>
        <v>0</v>
      </c>
      <c r="H110" s="83">
        <f t="shared" si="83"/>
        <v>0</v>
      </c>
    </row>
    <row r="111" spans="1:8">
      <c r="A111" s="75" t="s">
        <v>12</v>
      </c>
      <c r="B111" s="83">
        <f t="shared" si="83"/>
        <v>0</v>
      </c>
      <c r="C111" s="83">
        <f t="shared" si="83"/>
        <v>0</v>
      </c>
      <c r="D111" s="83">
        <f t="shared" si="83"/>
        <v>0</v>
      </c>
      <c r="E111" s="83">
        <f t="shared" si="83"/>
        <v>0</v>
      </c>
      <c r="F111" s="83">
        <f t="shared" si="83"/>
        <v>0</v>
      </c>
      <c r="G111" s="83">
        <f t="shared" si="83"/>
        <v>0</v>
      </c>
      <c r="H111" s="83">
        <f t="shared" si="83"/>
        <v>0</v>
      </c>
    </row>
    <row r="112" spans="1:8">
      <c r="A112" s="75" t="s">
        <v>31</v>
      </c>
      <c r="B112" s="83">
        <f t="shared" si="83"/>
        <v>0</v>
      </c>
      <c r="C112" s="83">
        <f t="shared" si="83"/>
        <v>0</v>
      </c>
      <c r="D112" s="83">
        <f t="shared" si="83"/>
        <v>0</v>
      </c>
      <c r="E112" s="83">
        <f t="shared" si="83"/>
        <v>0</v>
      </c>
      <c r="F112" s="83">
        <f t="shared" si="83"/>
        <v>0</v>
      </c>
      <c r="G112" s="83">
        <f t="shared" si="83"/>
        <v>0</v>
      </c>
      <c r="H112" s="83">
        <f t="shared" si="83"/>
        <v>0</v>
      </c>
    </row>
    <row r="113" spans="1:8">
      <c r="A113" s="75" t="s">
        <v>52</v>
      </c>
      <c r="B113" s="83">
        <f t="shared" si="83"/>
        <v>0</v>
      </c>
      <c r="C113" s="83">
        <f t="shared" si="83"/>
        <v>0</v>
      </c>
      <c r="D113" s="83">
        <f t="shared" si="83"/>
        <v>0</v>
      </c>
      <c r="E113" s="83">
        <f t="shared" si="83"/>
        <v>0</v>
      </c>
      <c r="F113" s="83">
        <f t="shared" si="83"/>
        <v>0</v>
      </c>
      <c r="G113" s="83">
        <f t="shared" si="83"/>
        <v>0</v>
      </c>
      <c r="H113" s="83">
        <f t="shared" si="83"/>
        <v>0</v>
      </c>
    </row>
    <row r="114" spans="1:8">
      <c r="A114" s="75" t="s">
        <v>12</v>
      </c>
      <c r="B114" s="83">
        <f t="shared" si="83"/>
        <v>0</v>
      </c>
      <c r="C114" s="83">
        <f t="shared" si="83"/>
        <v>0</v>
      </c>
      <c r="D114" s="83">
        <f t="shared" si="83"/>
        <v>0</v>
      </c>
      <c r="E114" s="83">
        <f t="shared" si="83"/>
        <v>0</v>
      </c>
      <c r="F114" s="83">
        <f t="shared" si="83"/>
        <v>0</v>
      </c>
      <c r="G114" s="83">
        <f t="shared" si="83"/>
        <v>0</v>
      </c>
      <c r="H114" s="83">
        <f t="shared" si="83"/>
        <v>0</v>
      </c>
    </row>
  </sheetData>
  <mergeCells count="2">
    <mergeCell ref="A4:H4"/>
    <mergeCell ref="C5:H5"/>
  </mergeCells>
  <phoneticPr fontId="17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AY114"/>
  <sheetViews>
    <sheetView topLeftCell="E1" zoomScale="85" zoomScaleNormal="85" workbookViewId="0">
      <selection activeCell="O10" sqref="O10"/>
    </sheetView>
  </sheetViews>
  <sheetFormatPr defaultRowHeight="13.2"/>
  <cols>
    <col min="1" max="1" width="14.88671875" customWidth="1"/>
    <col min="2" max="2" width="7.6640625" customWidth="1"/>
    <col min="3" max="3" width="8" customWidth="1"/>
    <col min="5" max="5" width="7" customWidth="1"/>
    <col min="6" max="6" width="7.5546875" customWidth="1"/>
    <col min="7" max="7" width="7.88671875" customWidth="1"/>
    <col min="8" max="8" width="6.5546875" customWidth="1"/>
    <col min="9" max="9" width="3.5546875" customWidth="1"/>
    <col min="10" max="10" width="15.33203125" customWidth="1"/>
    <col min="11" max="11" width="7" customWidth="1"/>
    <col min="12" max="12" width="7.88671875" customWidth="1"/>
    <col min="14" max="14" width="7" customWidth="1"/>
    <col min="15" max="15" width="7.6640625" customWidth="1"/>
    <col min="16" max="16" width="6.5546875" customWidth="1"/>
    <col min="17" max="17" width="6.88671875" customWidth="1"/>
    <col min="18" max="18" width="14" customWidth="1"/>
    <col min="19" max="20" width="7.33203125" customWidth="1"/>
    <col min="22" max="22" width="7.33203125" customWidth="1"/>
    <col min="23" max="23" width="7.5546875" customWidth="1"/>
    <col min="24" max="24" width="7.88671875" customWidth="1"/>
    <col min="25" max="25" width="6.6640625" customWidth="1"/>
    <col min="26" max="26" width="4.109375" customWidth="1"/>
    <col min="27" max="27" width="14.109375" customWidth="1"/>
    <col min="28" max="28" width="7.33203125" customWidth="1"/>
    <col min="29" max="29" width="7.88671875" customWidth="1"/>
    <col min="31" max="31" width="7.33203125" customWidth="1"/>
    <col min="32" max="32" width="7.88671875" customWidth="1"/>
    <col min="33" max="33" width="8" customWidth="1"/>
    <col min="34" max="34" width="7.109375" customWidth="1"/>
    <col min="35" max="35" width="11.109375" customWidth="1"/>
  </cols>
  <sheetData>
    <row r="1" spans="1:46" s="37" customFormat="1" ht="15.6">
      <c r="Q1" s="38" t="s">
        <v>33</v>
      </c>
    </row>
    <row r="2" spans="1:46" s="12" customFormat="1" ht="15.75" customHeight="1">
      <c r="H2" s="39" t="s">
        <v>34</v>
      </c>
    </row>
    <row r="3" spans="1:46" s="12" customFormat="1" ht="18.75" customHeight="1">
      <c r="H3" s="39" t="s">
        <v>61</v>
      </c>
    </row>
    <row r="4" spans="1:46" s="37" customFormat="1" ht="35.25" customHeight="1">
      <c r="A4" s="494" t="s">
        <v>73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6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</row>
    <row r="7" spans="1:46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</row>
    <row r="8" spans="1:46" s="115" customFormat="1">
      <c r="A8" s="525" t="s">
        <v>17</v>
      </c>
      <c r="B8" s="526"/>
      <c r="C8" s="526"/>
      <c r="D8" s="526"/>
      <c r="E8" s="526"/>
      <c r="F8" s="526"/>
      <c r="G8" s="526"/>
      <c r="H8" s="527"/>
      <c r="I8" s="13"/>
      <c r="J8" s="525" t="s">
        <v>17</v>
      </c>
      <c r="K8" s="526"/>
      <c r="L8" s="526"/>
      <c r="M8" s="526"/>
      <c r="N8" s="526"/>
      <c r="O8" s="526"/>
      <c r="P8" s="526"/>
      <c r="Q8" s="527"/>
      <c r="R8" s="525" t="s">
        <v>17</v>
      </c>
      <c r="S8" s="526"/>
      <c r="T8" s="526"/>
      <c r="U8" s="526"/>
      <c r="V8" s="526"/>
      <c r="W8" s="526"/>
      <c r="X8" s="526"/>
      <c r="Y8" s="527"/>
      <c r="Z8" s="13"/>
      <c r="AA8" s="525" t="s">
        <v>17</v>
      </c>
      <c r="AB8" s="526"/>
      <c r="AC8" s="526"/>
      <c r="AD8" s="526"/>
      <c r="AE8" s="526"/>
      <c r="AF8" s="526"/>
      <c r="AG8" s="526"/>
      <c r="AH8" s="527"/>
      <c r="AI8" s="13"/>
      <c r="AJ8" s="525" t="s">
        <v>17</v>
      </c>
      <c r="AK8" s="526"/>
      <c r="AL8" s="526"/>
      <c r="AM8" s="526"/>
      <c r="AN8" s="526"/>
      <c r="AO8" s="526"/>
      <c r="AP8" s="526"/>
      <c r="AQ8" s="527"/>
    </row>
    <row r="9" spans="1:46" s="115" customFormat="1">
      <c r="A9" s="274" t="s">
        <v>18</v>
      </c>
      <c r="B9" s="275">
        <f>+K9+S9+AK9</f>
        <v>816.59999999999991</v>
      </c>
      <c r="C9" s="454">
        <f t="shared" ref="C9:H9" si="0">+L9+T9+AL9</f>
        <v>45410</v>
      </c>
      <c r="D9" s="454">
        <f t="shared" si="0"/>
        <v>40827</v>
      </c>
      <c r="E9" s="454">
        <f t="shared" si="0"/>
        <v>2985</v>
      </c>
      <c r="F9" s="454">
        <f t="shared" si="0"/>
        <v>9087</v>
      </c>
      <c r="G9" s="454">
        <f t="shared" si="0"/>
        <v>1590</v>
      </c>
      <c r="H9" s="454">
        <f t="shared" si="0"/>
        <v>27165</v>
      </c>
      <c r="I9" s="13"/>
      <c r="J9" s="274" t="s">
        <v>18</v>
      </c>
      <c r="K9" s="275">
        <f>+K13+K20</f>
        <v>359.9</v>
      </c>
      <c r="L9" s="454">
        <f t="shared" ref="L9:Q9" si="1">+L13+L20</f>
        <v>11687</v>
      </c>
      <c r="M9" s="454">
        <f t="shared" si="1"/>
        <v>10342</v>
      </c>
      <c r="N9" s="454">
        <f t="shared" si="1"/>
        <v>477</v>
      </c>
      <c r="O9" s="454">
        <f t="shared" si="1"/>
        <v>2582</v>
      </c>
      <c r="P9" s="454">
        <f t="shared" si="1"/>
        <v>435</v>
      </c>
      <c r="Q9" s="454">
        <f t="shared" si="1"/>
        <v>6848</v>
      </c>
      <c r="R9" s="274" t="s">
        <v>18</v>
      </c>
      <c r="S9" s="275">
        <f>+S20+S13</f>
        <v>451.90000000000003</v>
      </c>
      <c r="T9" s="454">
        <f t="shared" ref="T9:Y9" si="2">+T20+T13</f>
        <v>33512</v>
      </c>
      <c r="U9" s="454">
        <f t="shared" si="2"/>
        <v>30299</v>
      </c>
      <c r="V9" s="454">
        <f t="shared" si="2"/>
        <v>2508</v>
      </c>
      <c r="W9" s="454">
        <f t="shared" si="2"/>
        <v>6481</v>
      </c>
      <c r="X9" s="454">
        <f t="shared" si="2"/>
        <v>1134</v>
      </c>
      <c r="Y9" s="454">
        <f t="shared" si="2"/>
        <v>20176</v>
      </c>
      <c r="Z9" s="13"/>
      <c r="AA9" s="274" t="s">
        <v>18</v>
      </c>
      <c r="AB9" s="275">
        <f>+AB20+AB13</f>
        <v>82.8</v>
      </c>
      <c r="AC9" s="454">
        <f t="shared" ref="AC9:AH10" si="3">+AC20+AC13</f>
        <v>5769</v>
      </c>
      <c r="AD9" s="454">
        <f t="shared" si="3"/>
        <v>5175</v>
      </c>
      <c r="AE9" s="454">
        <f t="shared" si="3"/>
        <v>1737</v>
      </c>
      <c r="AF9" s="454">
        <f t="shared" si="3"/>
        <v>768</v>
      </c>
      <c r="AG9" s="454">
        <f t="shared" si="3"/>
        <v>90</v>
      </c>
      <c r="AH9" s="454">
        <f t="shared" si="3"/>
        <v>2580</v>
      </c>
      <c r="AI9" s="13"/>
      <c r="AJ9" s="274" t="s">
        <v>18</v>
      </c>
      <c r="AK9" s="274">
        <v>4.8</v>
      </c>
      <c r="AL9" s="274">
        <v>211</v>
      </c>
      <c r="AM9" s="274">
        <v>186</v>
      </c>
      <c r="AN9" s="274">
        <f t="shared" ref="AL9:AQ10" si="4">AN13+AN20</f>
        <v>0</v>
      </c>
      <c r="AO9" s="274">
        <v>24</v>
      </c>
      <c r="AP9" s="274">
        <v>21</v>
      </c>
      <c r="AQ9" s="274">
        <v>141</v>
      </c>
    </row>
    <row r="10" spans="1:46" s="115" customFormat="1">
      <c r="A10" s="276" t="s">
        <v>19</v>
      </c>
      <c r="B10" s="22">
        <f>SUM(+B21+B14)</f>
        <v>854</v>
      </c>
      <c r="C10" s="23">
        <f t="shared" ref="C10:H10" si="5">SUM(+C21+C14)</f>
        <v>47490</v>
      </c>
      <c r="D10" s="23">
        <f t="shared" si="5"/>
        <v>40825</v>
      </c>
      <c r="E10" s="23">
        <f t="shared" si="5"/>
        <v>3539</v>
      </c>
      <c r="F10" s="23">
        <f t="shared" si="5"/>
        <v>5056</v>
      </c>
      <c r="G10" s="23">
        <f t="shared" si="5"/>
        <v>2364</v>
      </c>
      <c r="H10" s="23">
        <f t="shared" si="5"/>
        <v>29866</v>
      </c>
      <c r="I10" s="277"/>
      <c r="J10" s="276" t="s">
        <v>19</v>
      </c>
      <c r="K10" s="22">
        <f>SUM(+K14+K21)</f>
        <v>468.5</v>
      </c>
      <c r="L10" s="23">
        <f t="shared" ref="L10:Q10" si="6">SUM(+L14+L21)</f>
        <v>17110</v>
      </c>
      <c r="M10" s="23">
        <f t="shared" si="6"/>
        <v>14603</v>
      </c>
      <c r="N10" s="23">
        <f t="shared" si="6"/>
        <v>577</v>
      </c>
      <c r="O10" s="23">
        <f t="shared" si="6"/>
        <v>2144</v>
      </c>
      <c r="P10" s="23">
        <f t="shared" si="6"/>
        <v>908</v>
      </c>
      <c r="Q10" s="23">
        <f t="shared" si="6"/>
        <v>10974</v>
      </c>
      <c r="R10" s="276" t="s">
        <v>19</v>
      </c>
      <c r="S10" s="22">
        <f>SUM(+S14+S21)</f>
        <v>385.5</v>
      </c>
      <c r="T10" s="23">
        <f t="shared" ref="T10:Y10" si="7">SUM(+T14+T21)</f>
        <v>30380</v>
      </c>
      <c r="U10" s="23">
        <f t="shared" si="7"/>
        <v>26222</v>
      </c>
      <c r="V10" s="23">
        <f t="shared" si="7"/>
        <v>2962</v>
      </c>
      <c r="W10" s="23">
        <f t="shared" si="7"/>
        <v>2912</v>
      </c>
      <c r="X10" s="23">
        <f t="shared" si="7"/>
        <v>1456</v>
      </c>
      <c r="Y10" s="23">
        <f t="shared" si="7"/>
        <v>18892</v>
      </c>
      <c r="Z10" s="13"/>
      <c r="AA10" s="276" t="s">
        <v>19</v>
      </c>
      <c r="AB10" s="22">
        <f>+AB21+AB14</f>
        <v>62.3</v>
      </c>
      <c r="AC10" s="23">
        <f t="shared" si="3"/>
        <v>5090</v>
      </c>
      <c r="AD10" s="23">
        <f t="shared" si="3"/>
        <v>4301</v>
      </c>
      <c r="AE10" s="23">
        <f t="shared" si="3"/>
        <v>1329</v>
      </c>
      <c r="AF10" s="23">
        <f t="shared" si="3"/>
        <v>612</v>
      </c>
      <c r="AG10" s="23">
        <f t="shared" si="3"/>
        <v>146</v>
      </c>
      <c r="AH10" s="23">
        <f t="shared" si="3"/>
        <v>2214</v>
      </c>
      <c r="AI10" s="13"/>
      <c r="AJ10" s="276" t="s">
        <v>19</v>
      </c>
      <c r="AK10" s="43">
        <f>AK14+AK21</f>
        <v>0</v>
      </c>
      <c r="AL10" s="43">
        <f t="shared" si="4"/>
        <v>0</v>
      </c>
      <c r="AM10" s="43">
        <f t="shared" si="4"/>
        <v>0</v>
      </c>
      <c r="AN10" s="43">
        <f t="shared" si="4"/>
        <v>0</v>
      </c>
      <c r="AO10" s="43">
        <f t="shared" si="4"/>
        <v>0</v>
      </c>
      <c r="AP10" s="43">
        <f t="shared" si="4"/>
        <v>0</v>
      </c>
      <c r="AQ10" s="43">
        <f t="shared" si="4"/>
        <v>0</v>
      </c>
    </row>
    <row r="11" spans="1:46" s="115" customFormat="1">
      <c r="A11" s="43" t="s">
        <v>20</v>
      </c>
      <c r="B11" s="278">
        <f t="shared" ref="B11:H11" si="8">B10/B9*100</f>
        <v>104.57996571148666</v>
      </c>
      <c r="C11" s="278">
        <f t="shared" si="8"/>
        <v>104.58048887910152</v>
      </c>
      <c r="D11" s="278">
        <f t="shared" si="8"/>
        <v>99.995101281015025</v>
      </c>
      <c r="E11" s="278">
        <f t="shared" si="8"/>
        <v>118.55946398659967</v>
      </c>
      <c r="F11" s="278">
        <f t="shared" si="8"/>
        <v>55.63992516782217</v>
      </c>
      <c r="G11" s="278">
        <f t="shared" si="8"/>
        <v>148.67924528301884</v>
      </c>
      <c r="H11" s="278">
        <f t="shared" si="8"/>
        <v>109.94294128474141</v>
      </c>
      <c r="I11" s="13"/>
      <c r="J11" s="43" t="s">
        <v>20</v>
      </c>
      <c r="K11" s="278">
        <f t="shared" ref="K11:Q11" si="9">K10/K9*100</f>
        <v>130.17504862461794</v>
      </c>
      <c r="L11" s="278">
        <f t="shared" si="9"/>
        <v>146.40198511166253</v>
      </c>
      <c r="M11" s="278">
        <f t="shared" si="9"/>
        <v>141.20092825372268</v>
      </c>
      <c r="N11" s="278">
        <f t="shared" si="9"/>
        <v>120.9643605870021</v>
      </c>
      <c r="O11" s="278">
        <f t="shared" si="9"/>
        <v>83.036405886909364</v>
      </c>
      <c r="P11" s="278">
        <f t="shared" si="9"/>
        <v>208.73563218390805</v>
      </c>
      <c r="Q11" s="278">
        <f t="shared" si="9"/>
        <v>160.25116822429905</v>
      </c>
      <c r="R11" s="43" t="s">
        <v>20</v>
      </c>
      <c r="S11" s="278">
        <f>S10/S9*100</f>
        <v>85.306483735339668</v>
      </c>
      <c r="T11" s="278">
        <f t="shared" ref="T11:Y11" si="10">T10/T9*100</f>
        <v>90.654094055860597</v>
      </c>
      <c r="U11" s="278">
        <f t="shared" si="10"/>
        <v>86.54411036667878</v>
      </c>
      <c r="V11" s="278">
        <f t="shared" si="10"/>
        <v>118.10207336523126</v>
      </c>
      <c r="W11" s="278">
        <f t="shared" si="10"/>
        <v>44.931337756519056</v>
      </c>
      <c r="X11" s="278">
        <f t="shared" si="10"/>
        <v>128.39506172839506</v>
      </c>
      <c r="Y11" s="278">
        <f t="shared" si="10"/>
        <v>93.636003172085651</v>
      </c>
      <c r="Z11" s="13"/>
      <c r="AA11" s="43" t="s">
        <v>20</v>
      </c>
      <c r="AB11" s="278">
        <f t="shared" ref="AB11:AH11" si="11">AB10/AB9*100</f>
        <v>75.241545893719803</v>
      </c>
      <c r="AC11" s="278">
        <f t="shared" si="11"/>
        <v>88.230195874501646</v>
      </c>
      <c r="AD11" s="278">
        <f t="shared" si="11"/>
        <v>83.111111111111114</v>
      </c>
      <c r="AE11" s="278">
        <f t="shared" si="11"/>
        <v>76.511226252158892</v>
      </c>
      <c r="AF11" s="278">
        <f t="shared" si="11"/>
        <v>79.6875</v>
      </c>
      <c r="AG11" s="278">
        <f t="shared" si="11"/>
        <v>162.22222222222223</v>
      </c>
      <c r="AH11" s="278">
        <f t="shared" si="11"/>
        <v>85.813953488372093</v>
      </c>
      <c r="AI11" s="13"/>
      <c r="AJ11" s="43" t="s">
        <v>20</v>
      </c>
      <c r="AK11" s="278">
        <f t="shared" ref="AK11:AQ11" si="12">AK10/AK9*100</f>
        <v>0</v>
      </c>
      <c r="AL11" s="278">
        <f t="shared" si="12"/>
        <v>0</v>
      </c>
      <c r="AM11" s="278">
        <f t="shared" si="12"/>
        <v>0</v>
      </c>
      <c r="AN11" s="278" t="e">
        <f t="shared" si="12"/>
        <v>#DIV/0!</v>
      </c>
      <c r="AO11" s="278">
        <f t="shared" si="12"/>
        <v>0</v>
      </c>
      <c r="AP11" s="278">
        <f t="shared" si="12"/>
        <v>0</v>
      </c>
      <c r="AQ11" s="278">
        <f t="shared" si="12"/>
        <v>0</v>
      </c>
    </row>
    <row r="12" spans="1:46" s="203" customFormat="1" ht="12.75" customHeight="1">
      <c r="A12" s="522" t="s">
        <v>11</v>
      </c>
      <c r="B12" s="523"/>
      <c r="C12" s="523"/>
      <c r="D12" s="523"/>
      <c r="E12" s="523"/>
      <c r="F12" s="523"/>
      <c r="G12" s="523"/>
      <c r="H12" s="524"/>
      <c r="I12" s="14"/>
      <c r="J12" s="522" t="s">
        <v>11</v>
      </c>
      <c r="K12" s="523"/>
      <c r="L12" s="523"/>
      <c r="M12" s="523"/>
      <c r="N12" s="523"/>
      <c r="O12" s="523"/>
      <c r="P12" s="523"/>
      <c r="Q12" s="524"/>
      <c r="R12" s="522" t="s">
        <v>11</v>
      </c>
      <c r="S12" s="523"/>
      <c r="T12" s="523"/>
      <c r="U12" s="523"/>
      <c r="V12" s="523"/>
      <c r="W12" s="523"/>
      <c r="X12" s="523"/>
      <c r="Y12" s="524"/>
      <c r="Z12" s="14"/>
      <c r="AA12" s="522" t="s">
        <v>11</v>
      </c>
      <c r="AB12" s="523"/>
      <c r="AC12" s="523"/>
      <c r="AD12" s="523"/>
      <c r="AE12" s="523"/>
      <c r="AF12" s="523"/>
      <c r="AG12" s="523"/>
      <c r="AH12" s="524"/>
      <c r="AI12" s="14"/>
      <c r="AJ12" s="522" t="s">
        <v>11</v>
      </c>
      <c r="AK12" s="523"/>
      <c r="AL12" s="523"/>
      <c r="AM12" s="523"/>
      <c r="AN12" s="523"/>
      <c r="AO12" s="523"/>
      <c r="AP12" s="523"/>
      <c r="AQ12" s="524"/>
    </row>
    <row r="13" spans="1:46" s="203" customFormat="1">
      <c r="A13" s="228" t="s">
        <v>18</v>
      </c>
      <c r="B13" s="275">
        <f>+K13+S13+AK13</f>
        <v>15.200000000000001</v>
      </c>
      <c r="C13" s="454">
        <f t="shared" ref="C13:H13" si="13">+L13+T13+AL13</f>
        <v>1189</v>
      </c>
      <c r="D13" s="454">
        <f t="shared" si="13"/>
        <v>1027</v>
      </c>
      <c r="E13" s="454">
        <f t="shared" si="13"/>
        <v>492</v>
      </c>
      <c r="F13" s="454">
        <f t="shared" si="13"/>
        <v>153</v>
      </c>
      <c r="G13" s="454">
        <f t="shared" si="13"/>
        <v>34</v>
      </c>
      <c r="H13" s="454">
        <f t="shared" si="13"/>
        <v>348</v>
      </c>
      <c r="I13" s="14"/>
      <c r="J13" s="228" t="s">
        <v>18</v>
      </c>
      <c r="K13" s="280">
        <v>5.9</v>
      </c>
      <c r="L13" s="228">
        <v>298</v>
      </c>
      <c r="M13" s="228">
        <f>+N13+O13+P13+Q13</f>
        <v>236</v>
      </c>
      <c r="N13" s="228">
        <v>24</v>
      </c>
      <c r="O13" s="228">
        <v>117</v>
      </c>
      <c r="P13" s="228">
        <v>20</v>
      </c>
      <c r="Q13" s="228">
        <v>75</v>
      </c>
      <c r="R13" s="228" t="s">
        <v>18</v>
      </c>
      <c r="S13" s="228">
        <f>SUM(+AB13)</f>
        <v>9.3000000000000007</v>
      </c>
      <c r="T13" s="228">
        <f t="shared" ref="T13" si="14">SUM(+AC13)</f>
        <v>891</v>
      </c>
      <c r="U13" s="228">
        <f>+V13+W13+X13+Y13</f>
        <v>791</v>
      </c>
      <c r="V13" s="228">
        <v>468</v>
      </c>
      <c r="W13" s="228">
        <v>36</v>
      </c>
      <c r="X13" s="228">
        <v>14</v>
      </c>
      <c r="Y13" s="228">
        <v>273</v>
      </c>
      <c r="Z13" s="14"/>
      <c r="AA13" s="228" t="s">
        <v>18</v>
      </c>
      <c r="AB13" s="228">
        <v>9.3000000000000007</v>
      </c>
      <c r="AC13" s="228">
        <v>891</v>
      </c>
      <c r="AD13" s="228">
        <f>+AE13+AF13+AG13+AH13</f>
        <v>791</v>
      </c>
      <c r="AE13" s="228">
        <v>380</v>
      </c>
      <c r="AF13" s="228">
        <v>90</v>
      </c>
      <c r="AG13" s="228">
        <f t="shared" ref="AG13" si="15">SUM(+AG18+AG17+AG16)</f>
        <v>0</v>
      </c>
      <c r="AH13" s="228">
        <v>321</v>
      </c>
      <c r="AI13" s="14"/>
      <c r="AJ13" s="228" t="s">
        <v>18</v>
      </c>
      <c r="AK13" s="228"/>
      <c r="AL13" s="228"/>
      <c r="AM13" s="228"/>
      <c r="AN13" s="228"/>
      <c r="AO13" s="228"/>
      <c r="AP13" s="228"/>
      <c r="AQ13" s="228"/>
    </row>
    <row r="14" spans="1:46" s="203" customFormat="1">
      <c r="A14" s="18" t="s">
        <v>19</v>
      </c>
      <c r="B14" s="43">
        <f t="shared" ref="B14:H14" si="16">K14+S14+AK14</f>
        <v>10.700000000000001</v>
      </c>
      <c r="C14" s="43">
        <f t="shared" si="16"/>
        <v>760</v>
      </c>
      <c r="D14" s="43">
        <f t="shared" si="16"/>
        <v>655</v>
      </c>
      <c r="E14" s="43">
        <f t="shared" si="16"/>
        <v>289</v>
      </c>
      <c r="F14" s="43">
        <f t="shared" si="16"/>
        <v>70</v>
      </c>
      <c r="G14" s="43">
        <f t="shared" si="16"/>
        <v>0</v>
      </c>
      <c r="H14" s="43">
        <f t="shared" si="16"/>
        <v>296</v>
      </c>
      <c r="I14" s="14"/>
      <c r="J14" s="18" t="s">
        <v>19</v>
      </c>
      <c r="K14" s="398">
        <v>1.9</v>
      </c>
      <c r="L14" s="398">
        <v>100</v>
      </c>
      <c r="M14" s="244">
        <f>+N14+O14+P14+Q14</f>
        <v>89</v>
      </c>
      <c r="N14" s="398">
        <v>9</v>
      </c>
      <c r="O14" s="398">
        <v>5</v>
      </c>
      <c r="P14" s="398">
        <f t="shared" ref="P14" si="17">+P18</f>
        <v>0</v>
      </c>
      <c r="Q14" s="398">
        <v>75</v>
      </c>
      <c r="R14" s="18" t="s">
        <v>19</v>
      </c>
      <c r="S14" s="244">
        <v>8.8000000000000007</v>
      </c>
      <c r="T14" s="244">
        <v>660</v>
      </c>
      <c r="U14" s="244">
        <f>+V14+W14+X14+Y14</f>
        <v>566</v>
      </c>
      <c r="V14" s="244">
        <v>280</v>
      </c>
      <c r="W14" s="244">
        <v>65</v>
      </c>
      <c r="X14" s="244">
        <v>0</v>
      </c>
      <c r="Y14" s="244">
        <v>221</v>
      </c>
      <c r="Z14" s="14"/>
      <c r="AA14" s="18" t="s">
        <v>19</v>
      </c>
      <c r="AB14" s="244">
        <v>8.8000000000000007</v>
      </c>
      <c r="AC14" s="244">
        <v>660</v>
      </c>
      <c r="AD14" s="244">
        <f>+AE14+AF14+AG14+AH14</f>
        <v>566</v>
      </c>
      <c r="AE14" s="244">
        <v>280</v>
      </c>
      <c r="AF14" s="244">
        <v>65</v>
      </c>
      <c r="AG14" s="244">
        <v>0</v>
      </c>
      <c r="AH14" s="244">
        <v>221</v>
      </c>
      <c r="AI14" s="14"/>
      <c r="AJ14" s="18" t="s">
        <v>19</v>
      </c>
      <c r="AK14" s="244"/>
      <c r="AL14" s="244"/>
      <c r="AM14" s="244"/>
      <c r="AN14" s="244"/>
      <c r="AO14" s="244"/>
      <c r="AP14" s="244"/>
      <c r="AQ14" s="244"/>
    </row>
    <row r="15" spans="1:46" s="203" customFormat="1">
      <c r="A15" s="244" t="s">
        <v>20</v>
      </c>
      <c r="B15" s="278">
        <f t="shared" ref="B15:H15" si="18">B14/B13*100</f>
        <v>70.39473684210526</v>
      </c>
      <c r="C15" s="278">
        <f t="shared" si="18"/>
        <v>63.919259882253996</v>
      </c>
      <c r="D15" s="278">
        <f t="shared" si="18"/>
        <v>63.777994157740991</v>
      </c>
      <c r="E15" s="278">
        <f t="shared" si="18"/>
        <v>58.739837398373986</v>
      </c>
      <c r="F15" s="278">
        <f t="shared" si="18"/>
        <v>45.751633986928105</v>
      </c>
      <c r="G15" s="278">
        <f t="shared" si="18"/>
        <v>0</v>
      </c>
      <c r="H15" s="278">
        <f t="shared" si="18"/>
        <v>85.057471264367805</v>
      </c>
      <c r="I15" s="14"/>
      <c r="J15" s="244" t="s">
        <v>20</v>
      </c>
      <c r="K15" s="455">
        <f t="shared" ref="K15:Q15" si="19">K14/K13*100</f>
        <v>32.20338983050847</v>
      </c>
      <c r="L15" s="455">
        <f t="shared" si="19"/>
        <v>33.557046979865774</v>
      </c>
      <c r="M15" s="455">
        <f t="shared" si="19"/>
        <v>37.711864406779661</v>
      </c>
      <c r="N15" s="455">
        <f t="shared" si="19"/>
        <v>37.5</v>
      </c>
      <c r="O15" s="455">
        <f t="shared" si="19"/>
        <v>4.2735042735042734</v>
      </c>
      <c r="P15" s="455">
        <f t="shared" si="19"/>
        <v>0</v>
      </c>
      <c r="Q15" s="455">
        <f t="shared" si="19"/>
        <v>100</v>
      </c>
      <c r="R15" s="244" t="s">
        <v>20</v>
      </c>
      <c r="S15" s="278">
        <f t="shared" ref="S15:Y15" si="20">S14/S13*100</f>
        <v>94.623655913978496</v>
      </c>
      <c r="T15" s="278">
        <f t="shared" si="20"/>
        <v>74.074074074074076</v>
      </c>
      <c r="U15" s="278">
        <f t="shared" si="20"/>
        <v>71.554993678887485</v>
      </c>
      <c r="V15" s="278">
        <f t="shared" si="20"/>
        <v>59.82905982905983</v>
      </c>
      <c r="W15" s="278">
        <f t="shared" si="20"/>
        <v>180.55555555555557</v>
      </c>
      <c r="X15" s="278">
        <f t="shared" si="20"/>
        <v>0</v>
      </c>
      <c r="Y15" s="278">
        <f t="shared" si="20"/>
        <v>80.952380952380949</v>
      </c>
      <c r="Z15" s="14"/>
      <c r="AA15" s="244" t="s">
        <v>20</v>
      </c>
      <c r="AB15" s="278">
        <f t="shared" ref="AB15:AH15" si="21">AB14/AB13*100</f>
        <v>94.623655913978496</v>
      </c>
      <c r="AC15" s="278">
        <f t="shared" si="21"/>
        <v>74.074074074074076</v>
      </c>
      <c r="AD15" s="278">
        <f t="shared" si="21"/>
        <v>71.554993678887485</v>
      </c>
      <c r="AE15" s="278">
        <f t="shared" si="21"/>
        <v>73.68421052631578</v>
      </c>
      <c r="AF15" s="278">
        <f t="shared" si="21"/>
        <v>72.222222222222214</v>
      </c>
      <c r="AG15" s="278" t="e">
        <f t="shared" si="21"/>
        <v>#DIV/0!</v>
      </c>
      <c r="AH15" s="278">
        <f t="shared" si="21"/>
        <v>68.847352024922117</v>
      </c>
      <c r="AI15" s="14"/>
      <c r="AJ15" s="244" t="s">
        <v>20</v>
      </c>
      <c r="AK15" s="278" t="e">
        <f t="shared" ref="AK15:AQ15" si="22">AK14/AK13*100</f>
        <v>#DIV/0!</v>
      </c>
      <c r="AL15" s="278" t="e">
        <f t="shared" si="22"/>
        <v>#DIV/0!</v>
      </c>
      <c r="AM15" s="278" t="e">
        <f t="shared" si="22"/>
        <v>#DIV/0!</v>
      </c>
      <c r="AN15" s="278" t="e">
        <f t="shared" si="22"/>
        <v>#DIV/0!</v>
      </c>
      <c r="AO15" s="278" t="e">
        <f t="shared" si="22"/>
        <v>#DIV/0!</v>
      </c>
      <c r="AP15" s="278" t="e">
        <f t="shared" si="22"/>
        <v>#DIV/0!</v>
      </c>
      <c r="AQ15" s="278" t="e">
        <f t="shared" si="22"/>
        <v>#DIV/0!</v>
      </c>
    </row>
    <row r="16" spans="1:46" s="203" customFormat="1">
      <c r="A16" s="244" t="s">
        <v>13</v>
      </c>
      <c r="B16" s="398">
        <f t="shared" ref="B16:H17" si="23">SUM(+K16+S16++AK16)</f>
        <v>0</v>
      </c>
      <c r="C16" s="398">
        <f t="shared" si="23"/>
        <v>0</v>
      </c>
      <c r="D16" s="398">
        <f t="shared" si="23"/>
        <v>0</v>
      </c>
      <c r="E16" s="398">
        <f t="shared" si="23"/>
        <v>0</v>
      </c>
      <c r="F16" s="398">
        <f t="shared" si="23"/>
        <v>0</v>
      </c>
      <c r="G16" s="398">
        <f t="shared" si="23"/>
        <v>0</v>
      </c>
      <c r="H16" s="398">
        <f t="shared" si="23"/>
        <v>0</v>
      </c>
      <c r="I16" s="14"/>
      <c r="J16" s="244" t="s">
        <v>13</v>
      </c>
      <c r="K16" s="398"/>
      <c r="L16" s="398"/>
      <c r="M16" s="398"/>
      <c r="N16" s="398"/>
      <c r="O16" s="398"/>
      <c r="P16" s="398"/>
      <c r="Q16" s="398"/>
      <c r="R16" s="244" t="s">
        <v>13</v>
      </c>
      <c r="S16" s="244"/>
      <c r="T16" s="244"/>
      <c r="U16" s="244"/>
      <c r="V16" s="244"/>
      <c r="W16" s="244"/>
      <c r="X16" s="244"/>
      <c r="Y16" s="244"/>
      <c r="Z16" s="14"/>
      <c r="AA16" s="244" t="s">
        <v>13</v>
      </c>
      <c r="AB16" s="244"/>
      <c r="AC16" s="244"/>
      <c r="AD16" s="244"/>
      <c r="AE16" s="244"/>
      <c r="AF16" s="244"/>
      <c r="AG16" s="244"/>
      <c r="AH16" s="244"/>
      <c r="AI16" s="14"/>
      <c r="AJ16" s="244" t="s">
        <v>13</v>
      </c>
      <c r="AK16" s="244"/>
      <c r="AL16" s="244"/>
      <c r="AM16" s="244"/>
      <c r="AN16" s="244"/>
      <c r="AO16" s="244"/>
      <c r="AP16" s="244"/>
      <c r="AQ16" s="244"/>
    </row>
    <row r="17" spans="1:47" s="203" customFormat="1">
      <c r="A17" s="244" t="s">
        <v>14</v>
      </c>
      <c r="B17" s="244">
        <f t="shared" si="23"/>
        <v>0</v>
      </c>
      <c r="C17" s="244">
        <f t="shared" si="23"/>
        <v>0</v>
      </c>
      <c r="D17" s="244">
        <f t="shared" si="23"/>
        <v>0</v>
      </c>
      <c r="E17" s="244">
        <f t="shared" si="23"/>
        <v>0</v>
      </c>
      <c r="F17" s="244">
        <f t="shared" si="23"/>
        <v>0</v>
      </c>
      <c r="G17" s="244">
        <f t="shared" si="23"/>
        <v>0</v>
      </c>
      <c r="H17" s="244">
        <f t="shared" si="23"/>
        <v>0</v>
      </c>
      <c r="I17" s="14"/>
      <c r="J17" s="244" t="s">
        <v>14</v>
      </c>
      <c r="K17" s="398"/>
      <c r="L17" s="398"/>
      <c r="M17" s="398"/>
      <c r="N17" s="398"/>
      <c r="O17" s="398"/>
      <c r="P17" s="398"/>
      <c r="Q17" s="398"/>
      <c r="R17" s="244" t="s">
        <v>14</v>
      </c>
      <c r="S17" s="244"/>
      <c r="T17" s="244"/>
      <c r="U17" s="244"/>
      <c r="V17" s="244"/>
      <c r="W17" s="244"/>
      <c r="X17" s="244"/>
      <c r="Y17" s="244"/>
      <c r="Z17" s="14"/>
      <c r="AA17" s="244" t="s">
        <v>14</v>
      </c>
      <c r="AB17" s="244"/>
      <c r="AC17" s="244"/>
      <c r="AD17" s="244"/>
      <c r="AE17" s="244"/>
      <c r="AF17" s="244"/>
      <c r="AG17" s="244"/>
      <c r="AH17" s="244"/>
      <c r="AI17" s="14"/>
      <c r="AJ17" s="244" t="s">
        <v>14</v>
      </c>
      <c r="AK17" s="244"/>
      <c r="AL17" s="244"/>
      <c r="AM17" s="244"/>
      <c r="AN17" s="244"/>
      <c r="AO17" s="244"/>
      <c r="AP17" s="244"/>
      <c r="AQ17" s="244"/>
    </row>
    <row r="18" spans="1:47">
      <c r="A18" s="244" t="s">
        <v>15</v>
      </c>
      <c r="B18" s="244"/>
      <c r="C18" s="244"/>
      <c r="D18" s="244"/>
      <c r="E18" s="244"/>
      <c r="F18" s="244"/>
      <c r="G18" s="244"/>
      <c r="H18" s="244"/>
      <c r="I18" s="279"/>
      <c r="J18" s="244" t="s">
        <v>15</v>
      </c>
      <c r="K18" s="398"/>
      <c r="L18" s="398"/>
      <c r="M18" s="398">
        <f>+N18+O18+P18+Q18</f>
        <v>0</v>
      </c>
      <c r="N18" s="398"/>
      <c r="O18" s="398"/>
      <c r="P18" s="398"/>
      <c r="Q18" s="398"/>
      <c r="R18" s="244" t="s">
        <v>15</v>
      </c>
      <c r="S18" s="244"/>
      <c r="T18" s="244"/>
      <c r="U18" s="244">
        <f>+V18+W18+X18+Y18</f>
        <v>0</v>
      </c>
      <c r="V18" s="244"/>
      <c r="W18" s="244"/>
      <c r="X18" s="244"/>
      <c r="Y18" s="244"/>
      <c r="Z18" s="279"/>
      <c r="AA18" s="244" t="s">
        <v>15</v>
      </c>
      <c r="AB18" s="244"/>
      <c r="AC18" s="244"/>
      <c r="AD18" s="244">
        <f>+AE18+AF18+AG18+AH18</f>
        <v>0</v>
      </c>
      <c r="AE18" s="244"/>
      <c r="AF18" s="244"/>
      <c r="AG18" s="244"/>
      <c r="AH18" s="244"/>
      <c r="AI18" s="279"/>
      <c r="AJ18" s="244" t="s">
        <v>15</v>
      </c>
      <c r="AK18" s="244"/>
      <c r="AL18" s="244"/>
      <c r="AM18" s="244"/>
      <c r="AN18" s="244"/>
      <c r="AO18" s="244"/>
      <c r="AP18" s="244"/>
      <c r="AQ18" s="244"/>
    </row>
    <row r="19" spans="1:47" ht="12.75" customHeight="1">
      <c r="A19" s="522" t="s">
        <v>16</v>
      </c>
      <c r="B19" s="523"/>
      <c r="C19" s="523"/>
      <c r="D19" s="523"/>
      <c r="E19" s="523"/>
      <c r="F19" s="523"/>
      <c r="G19" s="523"/>
      <c r="H19" s="524"/>
      <c r="I19" s="279"/>
      <c r="J19" s="522" t="s">
        <v>16</v>
      </c>
      <c r="K19" s="523"/>
      <c r="L19" s="523"/>
      <c r="M19" s="523"/>
      <c r="N19" s="523"/>
      <c r="O19" s="523"/>
      <c r="P19" s="523"/>
      <c r="Q19" s="524"/>
      <c r="R19" s="522" t="s">
        <v>16</v>
      </c>
      <c r="S19" s="523"/>
      <c r="T19" s="523"/>
      <c r="U19" s="523"/>
      <c r="V19" s="523"/>
      <c r="W19" s="523"/>
      <c r="X19" s="523"/>
      <c r="Y19" s="524"/>
      <c r="Z19" s="279"/>
      <c r="AA19" s="522" t="s">
        <v>16</v>
      </c>
      <c r="AB19" s="523"/>
      <c r="AC19" s="523"/>
      <c r="AD19" s="523"/>
      <c r="AE19" s="523"/>
      <c r="AF19" s="523"/>
      <c r="AG19" s="523"/>
      <c r="AH19" s="524"/>
      <c r="AI19" s="279"/>
      <c r="AJ19" s="522" t="s">
        <v>16</v>
      </c>
      <c r="AK19" s="523"/>
      <c r="AL19" s="523"/>
      <c r="AM19" s="523"/>
      <c r="AN19" s="523"/>
      <c r="AO19" s="523"/>
      <c r="AP19" s="523"/>
      <c r="AQ19" s="524"/>
    </row>
    <row r="20" spans="1:47">
      <c r="A20" s="228" t="s">
        <v>18</v>
      </c>
      <c r="B20" s="275">
        <f>+K20+S20+AK20</f>
        <v>801.4</v>
      </c>
      <c r="C20" s="454">
        <f t="shared" ref="C20:H20" si="24">+L20+T20+AL20</f>
        <v>44221</v>
      </c>
      <c r="D20" s="454">
        <f t="shared" si="24"/>
        <v>39800</v>
      </c>
      <c r="E20" s="454">
        <f t="shared" si="24"/>
        <v>2493</v>
      </c>
      <c r="F20" s="454">
        <f t="shared" si="24"/>
        <v>8934</v>
      </c>
      <c r="G20" s="454">
        <f t="shared" si="24"/>
        <v>1556</v>
      </c>
      <c r="H20" s="454">
        <f t="shared" si="24"/>
        <v>26817</v>
      </c>
      <c r="I20" s="279"/>
      <c r="J20" s="228" t="s">
        <v>18</v>
      </c>
      <c r="K20" s="228">
        <f>+K38+K35+K32+K29+K26+K23</f>
        <v>354</v>
      </c>
      <c r="L20" s="228">
        <f t="shared" ref="L20:Q20" si="25">+L38+L35+L32+L29+L26+L23</f>
        <v>11389</v>
      </c>
      <c r="M20" s="228">
        <f t="shared" si="25"/>
        <v>10106</v>
      </c>
      <c r="N20" s="228">
        <f t="shared" si="25"/>
        <v>453</v>
      </c>
      <c r="O20" s="228">
        <f t="shared" si="25"/>
        <v>2465</v>
      </c>
      <c r="P20" s="228">
        <f t="shared" si="25"/>
        <v>415</v>
      </c>
      <c r="Q20" s="228">
        <f t="shared" si="25"/>
        <v>6773</v>
      </c>
      <c r="R20" s="228" t="s">
        <v>18</v>
      </c>
      <c r="S20" s="280">
        <f>+S38+S35+S32+S29+S26+S23</f>
        <v>442.6</v>
      </c>
      <c r="T20" s="281">
        <f t="shared" ref="T20:Y20" si="26">+T38+T35+T32+T29+T26+T23</f>
        <v>32621</v>
      </c>
      <c r="U20" s="281">
        <f t="shared" si="26"/>
        <v>29508</v>
      </c>
      <c r="V20" s="281">
        <f t="shared" si="26"/>
        <v>2040</v>
      </c>
      <c r="W20" s="281">
        <f t="shared" si="26"/>
        <v>6445</v>
      </c>
      <c r="X20" s="281">
        <f t="shared" si="26"/>
        <v>1120</v>
      </c>
      <c r="Y20" s="281">
        <f t="shared" si="26"/>
        <v>19903</v>
      </c>
      <c r="Z20" s="279"/>
      <c r="AA20" s="228" t="s">
        <v>18</v>
      </c>
      <c r="AB20" s="280">
        <f>+AB38+AB35+AB32+AB29+AB26+AB23</f>
        <v>73.5</v>
      </c>
      <c r="AC20" s="281">
        <f t="shared" ref="AC20:AH20" si="27">+AC38+AC35+AC32+AC29+AC26+AC23</f>
        <v>4878</v>
      </c>
      <c r="AD20" s="281">
        <f t="shared" si="27"/>
        <v>4384</v>
      </c>
      <c r="AE20" s="281">
        <f t="shared" si="27"/>
        <v>1357</v>
      </c>
      <c r="AF20" s="281">
        <f t="shared" si="27"/>
        <v>678</v>
      </c>
      <c r="AG20" s="281">
        <f t="shared" si="27"/>
        <v>90</v>
      </c>
      <c r="AH20" s="281">
        <f t="shared" si="27"/>
        <v>2259</v>
      </c>
      <c r="AI20" s="279"/>
      <c r="AJ20" s="228" t="s">
        <v>18</v>
      </c>
      <c r="AK20" s="280">
        <f>+AK38+AK35+AK32+AK29+AK26+AK23</f>
        <v>4.8</v>
      </c>
      <c r="AL20" s="281">
        <f t="shared" ref="AL20:AQ20" si="28">+AL38+AL35+AL32+AL29+AL26+AL23</f>
        <v>211</v>
      </c>
      <c r="AM20" s="281">
        <f t="shared" si="28"/>
        <v>186</v>
      </c>
      <c r="AN20" s="281">
        <f t="shared" si="28"/>
        <v>0</v>
      </c>
      <c r="AO20" s="281">
        <f t="shared" si="28"/>
        <v>24</v>
      </c>
      <c r="AP20" s="281">
        <f t="shared" si="28"/>
        <v>21</v>
      </c>
      <c r="AQ20" s="281">
        <f t="shared" si="28"/>
        <v>141</v>
      </c>
    </row>
    <row r="21" spans="1:47" s="203" customFormat="1">
      <c r="A21" s="18" t="s">
        <v>19</v>
      </c>
      <c r="B21" s="22">
        <f t="shared" ref="B21:H21" si="29">SUM(+K21+S21)</f>
        <v>843.3</v>
      </c>
      <c r="C21" s="22">
        <f t="shared" si="29"/>
        <v>46730</v>
      </c>
      <c r="D21" s="22">
        <f t="shared" si="29"/>
        <v>40170</v>
      </c>
      <c r="E21" s="22">
        <f t="shared" si="29"/>
        <v>3250</v>
      </c>
      <c r="F21" s="22">
        <f t="shared" si="29"/>
        <v>4986</v>
      </c>
      <c r="G21" s="22">
        <f t="shared" si="29"/>
        <v>2364</v>
      </c>
      <c r="H21" s="22">
        <f t="shared" si="29"/>
        <v>29570</v>
      </c>
      <c r="I21" s="14"/>
      <c r="J21" s="18" t="s">
        <v>19</v>
      </c>
      <c r="K21" s="8">
        <f>SUM(+K39+K36+K33+K30+K27)</f>
        <v>466.6</v>
      </c>
      <c r="L21" s="9">
        <f t="shared" ref="L21:P21" si="30">SUM(+L39+L36+L33+L30+L27)</f>
        <v>17010</v>
      </c>
      <c r="M21" s="9">
        <f t="shared" si="30"/>
        <v>14514</v>
      </c>
      <c r="N21" s="9">
        <f t="shared" si="30"/>
        <v>568</v>
      </c>
      <c r="O21" s="9">
        <f t="shared" si="30"/>
        <v>2139</v>
      </c>
      <c r="P21" s="9">
        <f t="shared" si="30"/>
        <v>908</v>
      </c>
      <c r="Q21" s="9">
        <f>SUM(+Q39+Q36+Q33+Q30+Q27)</f>
        <v>10899</v>
      </c>
      <c r="R21" s="18" t="s">
        <v>19</v>
      </c>
      <c r="S21" s="8">
        <f>+S39+S36+S30+S27</f>
        <v>376.7</v>
      </c>
      <c r="T21" s="9">
        <f t="shared" ref="T21:Y21" si="31">+T39+T36+T30+T27</f>
        <v>29720</v>
      </c>
      <c r="U21" s="9">
        <f t="shared" si="31"/>
        <v>25656</v>
      </c>
      <c r="V21" s="9">
        <f t="shared" si="31"/>
        <v>2682</v>
      </c>
      <c r="W21" s="9">
        <f t="shared" si="31"/>
        <v>2847</v>
      </c>
      <c r="X21" s="9">
        <f t="shared" si="31"/>
        <v>1456</v>
      </c>
      <c r="Y21" s="9">
        <f t="shared" si="31"/>
        <v>18671</v>
      </c>
      <c r="Z21" s="14"/>
      <c r="AA21" s="18" t="s">
        <v>19</v>
      </c>
      <c r="AB21" s="244">
        <f>+AB39+AB36+AB33+AB30+AB27</f>
        <v>53.499999999999993</v>
      </c>
      <c r="AC21" s="244">
        <f t="shared" ref="AC21:AH21" si="32">+AC39+AC36+AC33+AC30+AC27</f>
        <v>4430</v>
      </c>
      <c r="AD21" s="244">
        <f t="shared" si="32"/>
        <v>3735</v>
      </c>
      <c r="AE21" s="244">
        <f t="shared" si="32"/>
        <v>1049</v>
      </c>
      <c r="AF21" s="244">
        <f t="shared" si="32"/>
        <v>547</v>
      </c>
      <c r="AG21" s="244">
        <f t="shared" si="32"/>
        <v>146</v>
      </c>
      <c r="AH21" s="244">
        <f t="shared" si="32"/>
        <v>1993</v>
      </c>
      <c r="AI21" s="14"/>
      <c r="AJ21" s="18" t="s">
        <v>19</v>
      </c>
      <c r="AK21" s="244"/>
      <c r="AL21" s="244"/>
      <c r="AM21" s="244"/>
      <c r="AN21" s="244"/>
      <c r="AO21" s="244"/>
      <c r="AP21" s="244"/>
      <c r="AQ21" s="244"/>
    </row>
    <row r="22" spans="1:47">
      <c r="A22" s="244" t="s">
        <v>20</v>
      </c>
      <c r="B22" s="278">
        <f t="shared" ref="B22:H22" si="33">B21/B20*100</f>
        <v>105.22835038682305</v>
      </c>
      <c r="C22" s="278">
        <f t="shared" si="33"/>
        <v>105.67377490332647</v>
      </c>
      <c r="D22" s="278">
        <f t="shared" si="33"/>
        <v>100.92964824120602</v>
      </c>
      <c r="E22" s="278">
        <f t="shared" si="33"/>
        <v>130.36502206177295</v>
      </c>
      <c r="F22" s="278">
        <f t="shared" si="33"/>
        <v>55.80926796507724</v>
      </c>
      <c r="G22" s="278">
        <f t="shared" si="33"/>
        <v>151.92802056555271</v>
      </c>
      <c r="H22" s="278">
        <f t="shared" si="33"/>
        <v>110.26587612335459</v>
      </c>
      <c r="I22" s="279"/>
      <c r="J22" s="244" t="s">
        <v>20</v>
      </c>
      <c r="K22" s="278">
        <f t="shared" ref="K22:Q22" si="34">K21/K20*100</f>
        <v>131.80790960451978</v>
      </c>
      <c r="L22" s="278">
        <f t="shared" si="34"/>
        <v>149.35464044253226</v>
      </c>
      <c r="M22" s="278">
        <f t="shared" si="34"/>
        <v>143.61765287947753</v>
      </c>
      <c r="N22" s="278">
        <f t="shared" si="34"/>
        <v>125.38631346578366</v>
      </c>
      <c r="O22" s="278">
        <f t="shared" si="34"/>
        <v>86.774847870182555</v>
      </c>
      <c r="P22" s="278">
        <f t="shared" si="34"/>
        <v>218.79518072289156</v>
      </c>
      <c r="Q22" s="278">
        <f t="shared" si="34"/>
        <v>160.9183522811162</v>
      </c>
      <c r="R22" s="244" t="s">
        <v>20</v>
      </c>
      <c r="S22" s="278">
        <f t="shared" ref="S22:Y22" si="35">S21/S20*100</f>
        <v>85.110709444193404</v>
      </c>
      <c r="T22" s="278">
        <f t="shared" si="35"/>
        <v>91.106955642071057</v>
      </c>
      <c r="U22" s="278">
        <f t="shared" si="35"/>
        <v>86.945912972753149</v>
      </c>
      <c r="V22" s="278">
        <f t="shared" si="35"/>
        <v>131.47058823529412</v>
      </c>
      <c r="W22" s="278">
        <f t="shared" si="35"/>
        <v>44.173778122575641</v>
      </c>
      <c r="X22" s="278">
        <f t="shared" si="35"/>
        <v>130</v>
      </c>
      <c r="Y22" s="278">
        <f t="shared" si="35"/>
        <v>93.809978395216802</v>
      </c>
      <c r="Z22" s="279"/>
      <c r="AA22" s="244" t="s">
        <v>20</v>
      </c>
      <c r="AB22" s="278">
        <f t="shared" ref="AB22:AH22" si="36">AB21/AB20*100</f>
        <v>72.789115646258495</v>
      </c>
      <c r="AC22" s="278">
        <f t="shared" si="36"/>
        <v>90.815908159081587</v>
      </c>
      <c r="AD22" s="278">
        <f t="shared" si="36"/>
        <v>85.196167883211686</v>
      </c>
      <c r="AE22" s="278">
        <f t="shared" si="36"/>
        <v>77.302873986735449</v>
      </c>
      <c r="AF22" s="278">
        <f t="shared" si="36"/>
        <v>80.678466076696168</v>
      </c>
      <c r="AG22" s="278">
        <f t="shared" si="36"/>
        <v>162.22222222222223</v>
      </c>
      <c r="AH22" s="278">
        <f t="shared" si="36"/>
        <v>88.224878264718896</v>
      </c>
      <c r="AI22" s="279"/>
      <c r="AJ22" s="244" t="s">
        <v>20</v>
      </c>
      <c r="AK22" s="278">
        <f t="shared" ref="AK22:AQ22" si="37">AK21/AK20*100</f>
        <v>0</v>
      </c>
      <c r="AL22" s="278">
        <f t="shared" si="37"/>
        <v>0</v>
      </c>
      <c r="AM22" s="278">
        <f t="shared" si="37"/>
        <v>0</v>
      </c>
      <c r="AN22" s="278" t="e">
        <f t="shared" si="37"/>
        <v>#DIV/0!</v>
      </c>
      <c r="AO22" s="278">
        <f t="shared" si="37"/>
        <v>0</v>
      </c>
      <c r="AP22" s="278">
        <f t="shared" si="37"/>
        <v>0</v>
      </c>
      <c r="AQ22" s="278">
        <f t="shared" si="37"/>
        <v>0</v>
      </c>
    </row>
    <row r="23" spans="1:47">
      <c r="A23" s="228" t="s">
        <v>21</v>
      </c>
      <c r="B23" s="274">
        <f t="shared" ref="B23:H23" si="38">K23+S23+AK23</f>
        <v>0</v>
      </c>
      <c r="C23" s="274">
        <f t="shared" si="38"/>
        <v>0</v>
      </c>
      <c r="D23" s="274">
        <f t="shared" si="38"/>
        <v>0</v>
      </c>
      <c r="E23" s="274">
        <f t="shared" si="38"/>
        <v>0</v>
      </c>
      <c r="F23" s="274">
        <f t="shared" si="38"/>
        <v>0</v>
      </c>
      <c r="G23" s="274">
        <f t="shared" si="38"/>
        <v>0</v>
      </c>
      <c r="H23" s="274">
        <f t="shared" si="38"/>
        <v>0</v>
      </c>
      <c r="I23" s="279"/>
      <c r="J23" s="228" t="s">
        <v>21</v>
      </c>
      <c r="K23" s="228">
        <v>0</v>
      </c>
      <c r="L23" s="228">
        <v>0</v>
      </c>
      <c r="M23" s="228">
        <v>0</v>
      </c>
      <c r="N23" s="228">
        <v>0</v>
      </c>
      <c r="O23" s="228">
        <v>0</v>
      </c>
      <c r="P23" s="228">
        <v>0</v>
      </c>
      <c r="Q23" s="228">
        <v>0</v>
      </c>
      <c r="R23" s="228" t="s">
        <v>21</v>
      </c>
      <c r="S23" s="228">
        <v>0</v>
      </c>
      <c r="T23" s="228">
        <v>0</v>
      </c>
      <c r="U23" s="228">
        <f>V23+W23+X23+Y23</f>
        <v>0</v>
      </c>
      <c r="V23" s="228">
        <v>0</v>
      </c>
      <c r="W23" s="228">
        <v>0</v>
      </c>
      <c r="X23" s="228">
        <v>0</v>
      </c>
      <c r="Y23" s="228">
        <v>0</v>
      </c>
      <c r="Z23" s="279"/>
      <c r="AA23" s="228" t="s">
        <v>21</v>
      </c>
      <c r="AB23" s="228">
        <v>0</v>
      </c>
      <c r="AC23" s="228">
        <v>0</v>
      </c>
      <c r="AD23" s="228">
        <v>0</v>
      </c>
      <c r="AE23" s="228">
        <v>0</v>
      </c>
      <c r="AF23" s="228">
        <v>0</v>
      </c>
      <c r="AG23" s="228">
        <v>0</v>
      </c>
      <c r="AH23" s="228">
        <v>0</v>
      </c>
      <c r="AI23" s="279"/>
      <c r="AJ23" s="228" t="s">
        <v>21</v>
      </c>
      <c r="AK23" s="228"/>
      <c r="AL23" s="228"/>
      <c r="AM23" s="228">
        <f>AN23+AO23+AP23+AQ23</f>
        <v>0</v>
      </c>
      <c r="AN23" s="228"/>
      <c r="AO23" s="228"/>
      <c r="AP23" s="228"/>
      <c r="AQ23" s="228"/>
    </row>
    <row r="24" spans="1:47">
      <c r="A24" s="244" t="s">
        <v>22</v>
      </c>
      <c r="B24" s="43"/>
      <c r="C24" s="43"/>
      <c r="D24" s="43"/>
      <c r="E24" s="43"/>
      <c r="F24" s="43"/>
      <c r="G24" s="43"/>
      <c r="H24" s="43"/>
      <c r="I24" s="279"/>
      <c r="J24" s="244" t="s">
        <v>22</v>
      </c>
      <c r="K24" s="244"/>
      <c r="L24" s="244"/>
      <c r="M24" s="244"/>
      <c r="N24" s="244"/>
      <c r="O24" s="244"/>
      <c r="P24" s="244"/>
      <c r="Q24" s="244"/>
      <c r="R24" s="244" t="s">
        <v>22</v>
      </c>
      <c r="S24" s="244"/>
      <c r="T24" s="244"/>
      <c r="U24" s="244"/>
      <c r="V24" s="244"/>
      <c r="W24" s="244"/>
      <c r="X24" s="244"/>
      <c r="Y24" s="244"/>
      <c r="Z24" s="279"/>
      <c r="AA24" s="244" t="s">
        <v>22</v>
      </c>
      <c r="AB24" s="244"/>
      <c r="AC24" s="244"/>
      <c r="AD24" s="244"/>
      <c r="AE24" s="244"/>
      <c r="AF24" s="244"/>
      <c r="AG24" s="244"/>
      <c r="AH24" s="244"/>
      <c r="AI24" s="279"/>
      <c r="AJ24" s="244" t="s">
        <v>22</v>
      </c>
      <c r="AK24" s="244"/>
      <c r="AL24" s="244"/>
      <c r="AM24" s="244"/>
      <c r="AN24" s="244"/>
      <c r="AO24" s="244"/>
      <c r="AP24" s="244"/>
      <c r="AQ24" s="244"/>
    </row>
    <row r="25" spans="1:47">
      <c r="A25" s="244" t="s">
        <v>12</v>
      </c>
      <c r="B25" s="23" t="e">
        <f t="shared" ref="B25:H25" si="39">B24/B23*100</f>
        <v>#DIV/0!</v>
      </c>
      <c r="C25" s="278" t="e">
        <f t="shared" si="39"/>
        <v>#DIV/0!</v>
      </c>
      <c r="D25" s="278" t="e">
        <f t="shared" si="39"/>
        <v>#DIV/0!</v>
      </c>
      <c r="E25" s="278" t="e">
        <f t="shared" si="39"/>
        <v>#DIV/0!</v>
      </c>
      <c r="F25" s="278" t="e">
        <f t="shared" si="39"/>
        <v>#DIV/0!</v>
      </c>
      <c r="G25" s="278" t="e">
        <f t="shared" si="39"/>
        <v>#DIV/0!</v>
      </c>
      <c r="H25" s="278" t="e">
        <f t="shared" si="39"/>
        <v>#DIV/0!</v>
      </c>
      <c r="I25" s="279"/>
      <c r="J25" s="244" t="s">
        <v>12</v>
      </c>
      <c r="K25" s="278" t="e">
        <f t="shared" ref="K25:Q25" si="40">K24/K23*100</f>
        <v>#DIV/0!</v>
      </c>
      <c r="L25" s="278" t="e">
        <f t="shared" si="40"/>
        <v>#DIV/0!</v>
      </c>
      <c r="M25" s="278" t="e">
        <f t="shared" si="40"/>
        <v>#DIV/0!</v>
      </c>
      <c r="N25" s="278" t="e">
        <f t="shared" si="40"/>
        <v>#DIV/0!</v>
      </c>
      <c r="O25" s="278" t="e">
        <f t="shared" si="40"/>
        <v>#DIV/0!</v>
      </c>
      <c r="P25" s="278" t="e">
        <f t="shared" si="40"/>
        <v>#DIV/0!</v>
      </c>
      <c r="Q25" s="278" t="e">
        <f t="shared" si="40"/>
        <v>#DIV/0!</v>
      </c>
      <c r="R25" s="244" t="s">
        <v>12</v>
      </c>
      <c r="S25" s="9"/>
      <c r="T25" s="9"/>
      <c r="U25" s="9"/>
      <c r="V25" s="9"/>
      <c r="W25" s="9"/>
      <c r="X25" s="9"/>
      <c r="Y25" s="9"/>
      <c r="Z25" s="279"/>
      <c r="AA25" s="244" t="s">
        <v>12</v>
      </c>
      <c r="AB25" s="278" t="e">
        <f t="shared" ref="AB25:AH25" si="41">AB24/AB23*100</f>
        <v>#DIV/0!</v>
      </c>
      <c r="AC25" s="278" t="e">
        <f t="shared" si="41"/>
        <v>#DIV/0!</v>
      </c>
      <c r="AD25" s="278" t="e">
        <f t="shared" si="41"/>
        <v>#DIV/0!</v>
      </c>
      <c r="AE25" s="278" t="e">
        <f t="shared" si="41"/>
        <v>#DIV/0!</v>
      </c>
      <c r="AF25" s="278" t="e">
        <f t="shared" si="41"/>
        <v>#DIV/0!</v>
      </c>
      <c r="AG25" s="278" t="e">
        <f t="shared" si="41"/>
        <v>#DIV/0!</v>
      </c>
      <c r="AH25" s="278" t="e">
        <f t="shared" si="41"/>
        <v>#DIV/0!</v>
      </c>
      <c r="AI25" s="279"/>
      <c r="AJ25" s="244" t="s">
        <v>12</v>
      </c>
      <c r="AK25" s="278" t="e">
        <f t="shared" ref="AK25:AQ25" si="42">AK24/AK23*100</f>
        <v>#DIV/0!</v>
      </c>
      <c r="AL25" s="278" t="e">
        <f t="shared" si="42"/>
        <v>#DIV/0!</v>
      </c>
      <c r="AM25" s="278" t="e">
        <f t="shared" si="42"/>
        <v>#DIV/0!</v>
      </c>
      <c r="AN25" s="278" t="e">
        <f t="shared" si="42"/>
        <v>#DIV/0!</v>
      </c>
      <c r="AO25" s="278" t="e">
        <f t="shared" si="42"/>
        <v>#DIV/0!</v>
      </c>
      <c r="AP25" s="278" t="e">
        <f t="shared" si="42"/>
        <v>#DIV/0!</v>
      </c>
      <c r="AQ25" s="278" t="e">
        <f t="shared" si="42"/>
        <v>#DIV/0!</v>
      </c>
    </row>
    <row r="26" spans="1:47">
      <c r="A26" s="228" t="s">
        <v>23</v>
      </c>
      <c r="B26" s="274">
        <f t="shared" ref="B26:H27" si="43">K26+S26+AK26</f>
        <v>62.1</v>
      </c>
      <c r="C26" s="274">
        <f t="shared" si="43"/>
        <v>2501</v>
      </c>
      <c r="D26" s="274">
        <f>+M26+U26+AM26</f>
        <v>2234</v>
      </c>
      <c r="E26" s="274">
        <f t="shared" si="43"/>
        <v>62</v>
      </c>
      <c r="F26" s="274">
        <f>+O26+W26</f>
        <v>399</v>
      </c>
      <c r="G26" s="274">
        <f>+P26+X26</f>
        <v>85</v>
      </c>
      <c r="H26" s="274">
        <f t="shared" si="43"/>
        <v>1688</v>
      </c>
      <c r="I26" s="279"/>
      <c r="J26" s="228" t="s">
        <v>23</v>
      </c>
      <c r="K26" s="228">
        <v>33</v>
      </c>
      <c r="L26" s="228">
        <v>1276</v>
      </c>
      <c r="M26" s="228">
        <f>+N26+O26+P26+Q26</f>
        <v>1125</v>
      </c>
      <c r="N26" s="228">
        <v>24</v>
      </c>
      <c r="O26" s="228">
        <v>177</v>
      </c>
      <c r="P26" s="228">
        <v>51</v>
      </c>
      <c r="Q26" s="228">
        <v>873</v>
      </c>
      <c r="R26" s="228" t="s">
        <v>23</v>
      </c>
      <c r="S26" s="228">
        <v>29.1</v>
      </c>
      <c r="T26" s="228">
        <v>1225</v>
      </c>
      <c r="U26" s="228">
        <f>+V26+W26+X26+Y26</f>
        <v>1109</v>
      </c>
      <c r="V26" s="228">
        <v>38</v>
      </c>
      <c r="W26" s="228">
        <v>222</v>
      </c>
      <c r="X26" s="228">
        <v>34</v>
      </c>
      <c r="Y26" s="228">
        <v>815</v>
      </c>
      <c r="Z26" s="279"/>
      <c r="AA26" s="228" t="s">
        <v>23</v>
      </c>
      <c r="AB26" s="228">
        <v>3</v>
      </c>
      <c r="AC26" s="228">
        <v>120</v>
      </c>
      <c r="AD26" s="228">
        <f>+AE26+AF26+AG26+AH26</f>
        <v>158</v>
      </c>
      <c r="AE26" s="228">
        <v>85</v>
      </c>
      <c r="AF26" s="228">
        <v>9</v>
      </c>
      <c r="AG26" s="228">
        <v>1</v>
      </c>
      <c r="AH26" s="228">
        <v>63</v>
      </c>
      <c r="AI26" s="279"/>
      <c r="AJ26" s="228" t="s">
        <v>23</v>
      </c>
      <c r="AK26" s="228"/>
      <c r="AL26" s="228"/>
      <c r="AM26" s="228">
        <f>AN26+AO26+AP26+AQ26</f>
        <v>0</v>
      </c>
      <c r="AN26" s="228"/>
      <c r="AO26" s="228"/>
      <c r="AP26" s="228"/>
      <c r="AQ26" s="228"/>
    </row>
    <row r="27" spans="1:47">
      <c r="A27" s="244" t="s">
        <v>24</v>
      </c>
      <c r="B27" s="43">
        <f t="shared" si="43"/>
        <v>59.3</v>
      </c>
      <c r="C27" s="43">
        <f t="shared" si="43"/>
        <v>1690</v>
      </c>
      <c r="D27" s="43">
        <f t="shared" si="43"/>
        <v>1426</v>
      </c>
      <c r="E27" s="43">
        <f t="shared" si="43"/>
        <v>115</v>
      </c>
      <c r="F27" s="43">
        <f t="shared" si="43"/>
        <v>187</v>
      </c>
      <c r="G27" s="43">
        <f t="shared" si="43"/>
        <v>56</v>
      </c>
      <c r="H27" s="43">
        <f t="shared" si="43"/>
        <v>1068</v>
      </c>
      <c r="I27" s="279"/>
      <c r="J27" s="244" t="s">
        <v>24</v>
      </c>
      <c r="K27" s="244">
        <v>32.1</v>
      </c>
      <c r="L27" s="244">
        <v>730</v>
      </c>
      <c r="M27" s="244">
        <f>+N27+O27+P27+Q27</f>
        <v>624</v>
      </c>
      <c r="N27" s="244">
        <v>10</v>
      </c>
      <c r="O27" s="244">
        <v>131</v>
      </c>
      <c r="P27" s="244">
        <v>43</v>
      </c>
      <c r="Q27" s="244">
        <v>440</v>
      </c>
      <c r="R27" s="244" t="s">
        <v>24</v>
      </c>
      <c r="S27" s="244">
        <v>27.2</v>
      </c>
      <c r="T27" s="244">
        <v>960</v>
      </c>
      <c r="U27" s="244">
        <f>+V27+W27+X27+Y27</f>
        <v>802</v>
      </c>
      <c r="V27" s="244">
        <v>105</v>
      </c>
      <c r="W27" s="244">
        <v>56</v>
      </c>
      <c r="X27" s="244">
        <v>13</v>
      </c>
      <c r="Y27" s="244">
        <v>628</v>
      </c>
      <c r="Z27" s="279"/>
      <c r="AA27" s="244" t="s">
        <v>24</v>
      </c>
      <c r="AB27" s="244">
        <v>0.9</v>
      </c>
      <c r="AC27" s="244">
        <v>150</v>
      </c>
      <c r="AD27" s="244">
        <f>+AE27+AF27+AG27+AH27</f>
        <v>121</v>
      </c>
      <c r="AE27" s="244">
        <v>31</v>
      </c>
      <c r="AF27" s="244">
        <v>4</v>
      </c>
      <c r="AG27" s="244">
        <v>0</v>
      </c>
      <c r="AH27" s="244">
        <v>86</v>
      </c>
      <c r="AI27" s="279"/>
      <c r="AJ27" s="244" t="s">
        <v>24</v>
      </c>
      <c r="AK27" s="244"/>
      <c r="AL27" s="244"/>
      <c r="AM27" s="244"/>
      <c r="AN27" s="244"/>
      <c r="AO27" s="244"/>
      <c r="AP27" s="244"/>
      <c r="AQ27" s="244"/>
    </row>
    <row r="28" spans="1:47">
      <c r="A28" s="244" t="s">
        <v>12</v>
      </c>
      <c r="B28" s="278">
        <f>B27/B26*100</f>
        <v>95.491143317230268</v>
      </c>
      <c r="C28" s="278">
        <f t="shared" ref="C28:H28" si="44">C27/C26*100</f>
        <v>67.572970811675333</v>
      </c>
      <c r="D28" s="278">
        <f t="shared" si="44"/>
        <v>63.831692032229185</v>
      </c>
      <c r="E28" s="278">
        <f t="shared" si="44"/>
        <v>185.48387096774192</v>
      </c>
      <c r="F28" s="278">
        <f t="shared" si="44"/>
        <v>46.867167919799499</v>
      </c>
      <c r="G28" s="278">
        <f t="shared" si="44"/>
        <v>65.882352941176464</v>
      </c>
      <c r="H28" s="278">
        <f t="shared" si="44"/>
        <v>63.270142180094794</v>
      </c>
      <c r="I28" s="279"/>
      <c r="J28" s="244" t="s">
        <v>12</v>
      </c>
      <c r="K28" s="278">
        <f t="shared" ref="K28:Q28" si="45">K27/K26*100</f>
        <v>97.27272727272728</v>
      </c>
      <c r="L28" s="278">
        <f t="shared" si="45"/>
        <v>57.210031347962385</v>
      </c>
      <c r="M28" s="278">
        <f t="shared" si="45"/>
        <v>55.466666666666661</v>
      </c>
      <c r="N28" s="278">
        <f t="shared" si="45"/>
        <v>41.666666666666671</v>
      </c>
      <c r="O28" s="278">
        <f t="shared" si="45"/>
        <v>74.011299435028249</v>
      </c>
      <c r="P28" s="278">
        <f t="shared" si="45"/>
        <v>84.313725490196077</v>
      </c>
      <c r="Q28" s="278">
        <f t="shared" si="45"/>
        <v>50.400916380297822</v>
      </c>
      <c r="R28" s="244" t="s">
        <v>12</v>
      </c>
      <c r="S28" s="278">
        <f t="shared" ref="S28:Y28" si="46">S27/S26*100</f>
        <v>93.470790378006868</v>
      </c>
      <c r="T28" s="278">
        <f t="shared" si="46"/>
        <v>78.367346938775512</v>
      </c>
      <c r="U28" s="278">
        <f t="shared" si="46"/>
        <v>72.317403065825076</v>
      </c>
      <c r="V28" s="278">
        <f t="shared" si="46"/>
        <v>276.31578947368422</v>
      </c>
      <c r="W28" s="278">
        <f t="shared" si="46"/>
        <v>25.225225225225223</v>
      </c>
      <c r="X28" s="278">
        <f t="shared" si="46"/>
        <v>38.235294117647058</v>
      </c>
      <c r="Y28" s="278">
        <f t="shared" si="46"/>
        <v>77.055214723926383</v>
      </c>
      <c r="Z28" s="279"/>
      <c r="AA28" s="244" t="s">
        <v>12</v>
      </c>
      <c r="AB28" s="278">
        <f t="shared" ref="AB28:AH28" si="47">AB27/AB26*100</f>
        <v>30</v>
      </c>
      <c r="AC28" s="278">
        <f t="shared" si="47"/>
        <v>125</v>
      </c>
      <c r="AD28" s="278">
        <f t="shared" si="47"/>
        <v>76.582278481012651</v>
      </c>
      <c r="AE28" s="278">
        <f t="shared" si="47"/>
        <v>36.470588235294116</v>
      </c>
      <c r="AF28" s="278">
        <f t="shared" si="47"/>
        <v>44.444444444444443</v>
      </c>
      <c r="AG28" s="278">
        <f t="shared" si="47"/>
        <v>0</v>
      </c>
      <c r="AH28" s="278">
        <f t="shared" si="47"/>
        <v>136.50793650793651</v>
      </c>
      <c r="AI28" s="279"/>
      <c r="AJ28" s="244" t="s">
        <v>12</v>
      </c>
      <c r="AK28" s="278" t="e">
        <f t="shared" ref="AK28:AQ28" si="48">AK27/AK26*100</f>
        <v>#DIV/0!</v>
      </c>
      <c r="AL28" s="278" t="e">
        <f t="shared" si="48"/>
        <v>#DIV/0!</v>
      </c>
      <c r="AM28" s="278" t="e">
        <f t="shared" si="48"/>
        <v>#DIV/0!</v>
      </c>
      <c r="AN28" s="278" t="e">
        <f t="shared" si="48"/>
        <v>#DIV/0!</v>
      </c>
      <c r="AO28" s="278" t="e">
        <f t="shared" si="48"/>
        <v>#DIV/0!</v>
      </c>
      <c r="AP28" s="278" t="e">
        <f t="shared" si="48"/>
        <v>#DIV/0!</v>
      </c>
      <c r="AQ28" s="278" t="e">
        <f t="shared" si="48"/>
        <v>#DIV/0!</v>
      </c>
    </row>
    <row r="29" spans="1:47">
      <c r="A29" s="228" t="s">
        <v>25</v>
      </c>
      <c r="B29" s="274">
        <f t="shared" ref="B29:H30" si="49">K29+S29+AK29</f>
        <v>430.7</v>
      </c>
      <c r="C29" s="274">
        <f t="shared" si="49"/>
        <v>23481</v>
      </c>
      <c r="D29" s="274">
        <f t="shared" si="49"/>
        <v>21291</v>
      </c>
      <c r="E29" s="274">
        <f t="shared" si="49"/>
        <v>1079</v>
      </c>
      <c r="F29" s="274">
        <f t="shared" si="49"/>
        <v>3867</v>
      </c>
      <c r="G29" s="274">
        <f t="shared" si="49"/>
        <v>402</v>
      </c>
      <c r="H29" s="274">
        <f t="shared" si="49"/>
        <v>15943</v>
      </c>
      <c r="I29" s="279"/>
      <c r="J29" s="228" t="s">
        <v>25</v>
      </c>
      <c r="K29" s="228">
        <v>183.2</v>
      </c>
      <c r="L29" s="228">
        <v>5121</v>
      </c>
      <c r="M29" s="228">
        <f>+N29+O29+P29+Q29</f>
        <v>4636</v>
      </c>
      <c r="N29" s="228">
        <v>108</v>
      </c>
      <c r="O29" s="228">
        <v>671</v>
      </c>
      <c r="P29" s="228">
        <v>127</v>
      </c>
      <c r="Q29" s="228">
        <v>3730</v>
      </c>
      <c r="R29" s="228" t="s">
        <v>25</v>
      </c>
      <c r="S29" s="280">
        <v>247.2</v>
      </c>
      <c r="T29" s="228">
        <v>18360</v>
      </c>
      <c r="U29" s="228">
        <f>+V29+W29+X29+Y29</f>
        <v>16655</v>
      </c>
      <c r="V29" s="228">
        <v>971</v>
      </c>
      <c r="W29" s="228">
        <v>3196</v>
      </c>
      <c r="X29" s="228">
        <v>275</v>
      </c>
      <c r="Y29" s="228">
        <v>12213</v>
      </c>
      <c r="Z29" s="279"/>
      <c r="AA29" s="228" t="s">
        <v>25</v>
      </c>
      <c r="AB29" s="280">
        <v>24.5</v>
      </c>
      <c r="AC29" s="228">
        <v>1270</v>
      </c>
      <c r="AD29" s="228">
        <f>SUM(+AE29+AF29+AG29+AH29)</f>
        <v>1130</v>
      </c>
      <c r="AE29" s="228">
        <v>343</v>
      </c>
      <c r="AF29" s="228">
        <v>38</v>
      </c>
      <c r="AG29" s="228">
        <v>12</v>
      </c>
      <c r="AH29" s="228">
        <v>737</v>
      </c>
      <c r="AI29" s="279"/>
      <c r="AJ29" s="228" t="s">
        <v>25</v>
      </c>
      <c r="AK29" s="228">
        <v>0.3</v>
      </c>
      <c r="AL29" s="228"/>
      <c r="AM29" s="228"/>
      <c r="AN29" s="228"/>
      <c r="AO29" s="228"/>
      <c r="AP29" s="228"/>
      <c r="AQ29" s="228"/>
    </row>
    <row r="30" spans="1:47">
      <c r="A30" s="244" t="s">
        <v>26</v>
      </c>
      <c r="B30" s="43">
        <f t="shared" si="49"/>
        <v>551</v>
      </c>
      <c r="C30" s="43">
        <f t="shared" si="49"/>
        <v>24820</v>
      </c>
      <c r="D30" s="43">
        <f t="shared" si="49"/>
        <v>21784</v>
      </c>
      <c r="E30" s="43">
        <f t="shared" si="49"/>
        <v>2070</v>
      </c>
      <c r="F30" s="43">
        <f t="shared" si="49"/>
        <v>2252</v>
      </c>
      <c r="G30" s="43">
        <f t="shared" si="49"/>
        <v>869</v>
      </c>
      <c r="H30" s="43">
        <f t="shared" si="49"/>
        <v>16593</v>
      </c>
      <c r="I30" s="279"/>
      <c r="J30" s="244" t="s">
        <v>26</v>
      </c>
      <c r="K30" s="244">
        <v>330.1</v>
      </c>
      <c r="L30" s="244">
        <v>11100</v>
      </c>
      <c r="M30" s="244">
        <f>+N30+O30+P30+Q30</f>
        <v>9609</v>
      </c>
      <c r="N30" s="244">
        <v>420</v>
      </c>
      <c r="O30" s="244">
        <v>1290</v>
      </c>
      <c r="P30" s="244">
        <v>517</v>
      </c>
      <c r="Q30" s="244">
        <v>7382</v>
      </c>
      <c r="R30" s="244" t="s">
        <v>26</v>
      </c>
      <c r="S30" s="244">
        <v>220.9</v>
      </c>
      <c r="T30" s="244">
        <v>13720</v>
      </c>
      <c r="U30" s="244">
        <f>+V30+W30+X30+Y30</f>
        <v>12175</v>
      </c>
      <c r="V30" s="244">
        <v>1650</v>
      </c>
      <c r="W30" s="244">
        <v>962</v>
      </c>
      <c r="X30" s="244">
        <v>352</v>
      </c>
      <c r="Y30" s="244">
        <v>9211</v>
      </c>
      <c r="Z30" s="279"/>
      <c r="AA30" s="244" t="s">
        <v>26</v>
      </c>
      <c r="AB30" s="244">
        <v>20.2</v>
      </c>
      <c r="AC30" s="244">
        <v>1100</v>
      </c>
      <c r="AD30" s="244">
        <f>+AE30+AF30+AG30+AH30</f>
        <v>894</v>
      </c>
      <c r="AE30" s="244">
        <v>202</v>
      </c>
      <c r="AF30" s="244">
        <v>3</v>
      </c>
      <c r="AG30" s="244">
        <v>2</v>
      </c>
      <c r="AH30" s="244">
        <v>687</v>
      </c>
      <c r="AI30" s="279"/>
      <c r="AJ30" s="244" t="s">
        <v>26</v>
      </c>
      <c r="AK30" s="244"/>
      <c r="AL30" s="244"/>
      <c r="AM30" s="244"/>
      <c r="AN30" s="244"/>
      <c r="AO30" s="244"/>
      <c r="AP30" s="244"/>
      <c r="AQ30" s="244"/>
    </row>
    <row r="31" spans="1:47" ht="15.6">
      <c r="A31" s="244" t="s">
        <v>12</v>
      </c>
      <c r="B31" s="278">
        <f t="shared" ref="B31:H31" si="50">B30/B29*100</f>
        <v>127.93127466914326</v>
      </c>
      <c r="C31" s="278">
        <f t="shared" si="50"/>
        <v>105.70248285848132</v>
      </c>
      <c r="D31" s="278">
        <f t="shared" si="50"/>
        <v>102.31553238457565</v>
      </c>
      <c r="E31" s="278">
        <f t="shared" si="50"/>
        <v>191.84430027803521</v>
      </c>
      <c r="F31" s="278">
        <f t="shared" si="50"/>
        <v>58.236358934574604</v>
      </c>
      <c r="G31" s="278">
        <f t="shared" si="50"/>
        <v>216.16915422885575</v>
      </c>
      <c r="H31" s="278">
        <f t="shared" si="50"/>
        <v>104.07702439942295</v>
      </c>
      <c r="I31" s="279"/>
      <c r="J31" s="244" t="s">
        <v>12</v>
      </c>
      <c r="K31" s="278">
        <f t="shared" ref="K31:Q31" si="51">K30/K29*100</f>
        <v>180.18558951965068</v>
      </c>
      <c r="L31" s="278">
        <f t="shared" si="51"/>
        <v>216.75454012888108</v>
      </c>
      <c r="M31" s="278">
        <f t="shared" si="51"/>
        <v>207.26919758412424</v>
      </c>
      <c r="N31" s="278">
        <f t="shared" si="51"/>
        <v>388.88888888888886</v>
      </c>
      <c r="O31" s="278">
        <f t="shared" si="51"/>
        <v>192.25037257824141</v>
      </c>
      <c r="P31" s="278">
        <f t="shared" si="51"/>
        <v>407.08661417322833</v>
      </c>
      <c r="Q31" s="278">
        <f t="shared" si="51"/>
        <v>197.9088471849866</v>
      </c>
      <c r="R31" s="244" t="s">
        <v>12</v>
      </c>
      <c r="S31" s="278">
        <f t="shared" ref="S31:Y31" si="52">S30/S29*100</f>
        <v>89.360841423948216</v>
      </c>
      <c r="T31" s="278">
        <f t="shared" si="52"/>
        <v>74.727668845315904</v>
      </c>
      <c r="U31" s="278">
        <f t="shared" si="52"/>
        <v>73.101170819573696</v>
      </c>
      <c r="V31" s="278">
        <f t="shared" si="52"/>
        <v>169.92790937178165</v>
      </c>
      <c r="W31" s="278">
        <f t="shared" si="52"/>
        <v>30.100125156445557</v>
      </c>
      <c r="X31" s="278">
        <f t="shared" si="52"/>
        <v>128</v>
      </c>
      <c r="Y31" s="278">
        <f t="shared" si="52"/>
        <v>75.419634815360681</v>
      </c>
      <c r="Z31" s="279"/>
      <c r="AA31" s="244" t="s">
        <v>12</v>
      </c>
      <c r="AB31" s="278">
        <f t="shared" ref="AB31:AH31" si="53">AB30/AB29*100</f>
        <v>82.448979591836732</v>
      </c>
      <c r="AC31" s="278">
        <f t="shared" si="53"/>
        <v>86.614173228346459</v>
      </c>
      <c r="AD31" s="278">
        <f t="shared" si="53"/>
        <v>79.115044247787608</v>
      </c>
      <c r="AE31" s="278">
        <f t="shared" si="53"/>
        <v>58.89212827988338</v>
      </c>
      <c r="AF31" s="278">
        <f t="shared" si="53"/>
        <v>7.8947368421052628</v>
      </c>
      <c r="AG31" s="278">
        <f t="shared" si="53"/>
        <v>16.666666666666664</v>
      </c>
      <c r="AH31" s="278">
        <f t="shared" si="53"/>
        <v>93.215739484396195</v>
      </c>
      <c r="AI31" s="279"/>
      <c r="AJ31" s="244" t="s">
        <v>12</v>
      </c>
      <c r="AK31" s="278">
        <f t="shared" ref="AK31:AQ31" si="54">AK30/AK29*100</f>
        <v>0</v>
      </c>
      <c r="AL31" s="278" t="e">
        <f t="shared" si="54"/>
        <v>#DIV/0!</v>
      </c>
      <c r="AM31" s="278" t="e">
        <f t="shared" si="54"/>
        <v>#DIV/0!</v>
      </c>
      <c r="AN31" s="278" t="e">
        <f t="shared" si="54"/>
        <v>#DIV/0!</v>
      </c>
      <c r="AO31" s="278" t="e">
        <f t="shared" si="54"/>
        <v>#DIV/0!</v>
      </c>
      <c r="AP31" s="278" t="e">
        <f t="shared" si="54"/>
        <v>#DIV/0!</v>
      </c>
      <c r="AQ31" s="278" t="e">
        <f t="shared" si="54"/>
        <v>#DIV/0!</v>
      </c>
      <c r="AS31" s="37"/>
      <c r="AT31" s="37"/>
      <c r="AU31" s="37"/>
    </row>
    <row r="32" spans="1:47" ht="15.6">
      <c r="A32" s="228" t="s">
        <v>27</v>
      </c>
      <c r="B32" s="274">
        <f t="shared" ref="B32:H33" si="55">K32+S32+AK32</f>
        <v>1.3</v>
      </c>
      <c r="C32" s="274">
        <f t="shared" si="55"/>
        <v>131</v>
      </c>
      <c r="D32" s="274">
        <f t="shared" si="55"/>
        <v>122</v>
      </c>
      <c r="E32" s="274">
        <f t="shared" si="55"/>
        <v>53</v>
      </c>
      <c r="F32" s="274">
        <f t="shared" si="55"/>
        <v>16</v>
      </c>
      <c r="G32" s="274">
        <f t="shared" si="55"/>
        <v>5</v>
      </c>
      <c r="H32" s="274">
        <f t="shared" si="55"/>
        <v>48</v>
      </c>
      <c r="I32" s="279"/>
      <c r="J32" s="228" t="s">
        <v>27</v>
      </c>
      <c r="K32" s="228">
        <v>0.1</v>
      </c>
      <c r="L32" s="228">
        <v>5</v>
      </c>
      <c r="M32" s="228">
        <f>+N32+O32+P32+Q32</f>
        <v>5</v>
      </c>
      <c r="N32" s="228">
        <v>2</v>
      </c>
      <c r="O32" s="228">
        <v>1</v>
      </c>
      <c r="P32" s="228">
        <v>0</v>
      </c>
      <c r="Q32" s="228">
        <v>2</v>
      </c>
      <c r="R32" s="228" t="s">
        <v>27</v>
      </c>
      <c r="S32" s="228">
        <v>1.2</v>
      </c>
      <c r="T32" s="228">
        <v>126</v>
      </c>
      <c r="U32" s="228">
        <f>+V32+W32+X32+Y32</f>
        <v>117</v>
      </c>
      <c r="V32" s="228">
        <v>51</v>
      </c>
      <c r="W32" s="228">
        <v>15</v>
      </c>
      <c r="X32" s="228">
        <v>5</v>
      </c>
      <c r="Y32" s="228">
        <v>46</v>
      </c>
      <c r="Z32" s="282"/>
      <c r="AA32" s="228" t="s">
        <v>27</v>
      </c>
      <c r="AB32" s="228">
        <v>1.3</v>
      </c>
      <c r="AC32" s="228">
        <v>124</v>
      </c>
      <c r="AD32" s="228">
        <f>+AE32+AF32+AG32+AH32</f>
        <v>105</v>
      </c>
      <c r="AE32" s="228">
        <v>45</v>
      </c>
      <c r="AF32" s="228">
        <v>14</v>
      </c>
      <c r="AG32" s="228">
        <v>5</v>
      </c>
      <c r="AH32" s="228">
        <v>41</v>
      </c>
      <c r="AI32" s="279"/>
      <c r="AJ32" s="228" t="s">
        <v>27</v>
      </c>
      <c r="AK32" s="228"/>
      <c r="AL32" s="228"/>
      <c r="AM32" s="228">
        <f>AN32+AO32+AP32+AQ32</f>
        <v>0</v>
      </c>
      <c r="AN32" s="228"/>
      <c r="AO32" s="228"/>
      <c r="AP32" s="228"/>
      <c r="AQ32" s="228"/>
      <c r="AS32" s="37"/>
      <c r="AT32" s="37"/>
      <c r="AU32" s="37"/>
    </row>
    <row r="33" spans="1:51">
      <c r="A33" s="244" t="s">
        <v>28</v>
      </c>
      <c r="B33" s="43">
        <f t="shared" si="55"/>
        <v>0.1</v>
      </c>
      <c r="C33" s="43">
        <f t="shared" si="55"/>
        <v>10</v>
      </c>
      <c r="D33" s="43">
        <f t="shared" si="55"/>
        <v>8</v>
      </c>
      <c r="E33" s="43">
        <f t="shared" si="55"/>
        <v>0</v>
      </c>
      <c r="F33" s="43">
        <f t="shared" si="55"/>
        <v>1</v>
      </c>
      <c r="G33" s="43">
        <f t="shared" si="55"/>
        <v>1</v>
      </c>
      <c r="H33" s="43">
        <f t="shared" si="55"/>
        <v>6</v>
      </c>
      <c r="I33" s="279"/>
      <c r="J33" s="244" t="s">
        <v>28</v>
      </c>
      <c r="K33" s="244">
        <v>0.1</v>
      </c>
      <c r="L33" s="244">
        <v>10</v>
      </c>
      <c r="M33" s="244">
        <f>+N33+O33+P33+Q33</f>
        <v>8</v>
      </c>
      <c r="N33" s="244">
        <v>0</v>
      </c>
      <c r="O33" s="244">
        <v>1</v>
      </c>
      <c r="P33" s="244">
        <v>1</v>
      </c>
      <c r="Q33" s="244">
        <v>6</v>
      </c>
      <c r="R33" s="244" t="s">
        <v>28</v>
      </c>
      <c r="S33" s="244"/>
      <c r="T33" s="244"/>
      <c r="U33" s="244"/>
      <c r="V33" s="244"/>
      <c r="W33" s="244"/>
      <c r="X33" s="244"/>
      <c r="Y33" s="244"/>
      <c r="Z33" s="279"/>
      <c r="AA33" s="244" t="s">
        <v>28</v>
      </c>
      <c r="AB33" s="244"/>
      <c r="AC33" s="244"/>
      <c r="AD33" s="244"/>
      <c r="AE33" s="244"/>
      <c r="AF33" s="244"/>
      <c r="AG33" s="244"/>
      <c r="AH33" s="244"/>
      <c r="AI33" s="279"/>
      <c r="AJ33" s="244" t="s">
        <v>28</v>
      </c>
      <c r="AK33" s="244"/>
      <c r="AL33" s="244"/>
      <c r="AM33" s="244"/>
      <c r="AN33" s="244"/>
      <c r="AO33" s="244"/>
      <c r="AP33" s="244"/>
      <c r="AQ33" s="244"/>
    </row>
    <row r="34" spans="1:51">
      <c r="A34" s="244" t="s">
        <v>12</v>
      </c>
      <c r="B34" s="278">
        <f t="shared" ref="B34:H34" si="56">B33/B32*100</f>
        <v>7.6923076923076925</v>
      </c>
      <c r="C34" s="278">
        <f t="shared" si="56"/>
        <v>7.6335877862595423</v>
      </c>
      <c r="D34" s="278">
        <f t="shared" si="56"/>
        <v>6.557377049180328</v>
      </c>
      <c r="E34" s="278">
        <f t="shared" si="56"/>
        <v>0</v>
      </c>
      <c r="F34" s="278">
        <f t="shared" si="56"/>
        <v>6.25</v>
      </c>
      <c r="G34" s="278">
        <f t="shared" si="56"/>
        <v>20</v>
      </c>
      <c r="H34" s="278">
        <f t="shared" si="56"/>
        <v>12.5</v>
      </c>
      <c r="I34" s="279"/>
      <c r="J34" s="244" t="s">
        <v>12</v>
      </c>
      <c r="K34" s="278">
        <f t="shared" ref="K34:Q34" si="57">K33/K32*100</f>
        <v>100</v>
      </c>
      <c r="L34" s="278">
        <f t="shared" si="57"/>
        <v>200</v>
      </c>
      <c r="M34" s="278">
        <f t="shared" si="57"/>
        <v>160</v>
      </c>
      <c r="N34" s="278">
        <f t="shared" si="57"/>
        <v>0</v>
      </c>
      <c r="O34" s="278">
        <f t="shared" si="57"/>
        <v>100</v>
      </c>
      <c r="P34" s="278" t="e">
        <f t="shared" si="57"/>
        <v>#DIV/0!</v>
      </c>
      <c r="Q34" s="278">
        <f t="shared" si="57"/>
        <v>300</v>
      </c>
      <c r="R34" s="244" t="s">
        <v>12</v>
      </c>
      <c r="S34" s="278"/>
      <c r="T34" s="278">
        <f t="shared" ref="T34:Y34" si="58">T33/T32*100</f>
        <v>0</v>
      </c>
      <c r="U34" s="278">
        <f t="shared" si="58"/>
        <v>0</v>
      </c>
      <c r="V34" s="278">
        <f t="shared" si="58"/>
        <v>0</v>
      </c>
      <c r="W34" s="278">
        <f t="shared" si="58"/>
        <v>0</v>
      </c>
      <c r="X34" s="278">
        <f t="shared" si="58"/>
        <v>0</v>
      </c>
      <c r="Y34" s="278">
        <f t="shared" si="58"/>
        <v>0</v>
      </c>
      <c r="Z34" s="279"/>
      <c r="AA34" s="244" t="s">
        <v>12</v>
      </c>
      <c r="AB34" s="278">
        <f t="shared" ref="AB34:AH34" si="59">AB33/AB32*100</f>
        <v>0</v>
      </c>
      <c r="AC34" s="278">
        <f t="shared" si="59"/>
        <v>0</v>
      </c>
      <c r="AD34" s="278">
        <f t="shared" si="59"/>
        <v>0</v>
      </c>
      <c r="AE34" s="278">
        <f t="shared" si="59"/>
        <v>0</v>
      </c>
      <c r="AF34" s="278">
        <f t="shared" si="59"/>
        <v>0</v>
      </c>
      <c r="AG34" s="278">
        <f t="shared" si="59"/>
        <v>0</v>
      </c>
      <c r="AH34" s="278">
        <f t="shared" si="59"/>
        <v>0</v>
      </c>
      <c r="AI34" s="279"/>
      <c r="AJ34" s="244" t="s">
        <v>12</v>
      </c>
      <c r="AK34" s="278" t="e">
        <f t="shared" ref="AK34:AQ34" si="60">AK33/AK32*100</f>
        <v>#DIV/0!</v>
      </c>
      <c r="AL34" s="278" t="e">
        <f t="shared" si="60"/>
        <v>#DIV/0!</v>
      </c>
      <c r="AM34" s="278" t="e">
        <f t="shared" si="60"/>
        <v>#DIV/0!</v>
      </c>
      <c r="AN34" s="278" t="e">
        <f t="shared" si="60"/>
        <v>#DIV/0!</v>
      </c>
      <c r="AO34" s="278" t="e">
        <f t="shared" si="60"/>
        <v>#DIV/0!</v>
      </c>
      <c r="AP34" s="278" t="e">
        <f t="shared" si="60"/>
        <v>#DIV/0!</v>
      </c>
      <c r="AQ34" s="278" t="e">
        <f t="shared" si="60"/>
        <v>#DIV/0!</v>
      </c>
    </row>
    <row r="35" spans="1:51" ht="15.6">
      <c r="A35" s="228" t="s">
        <v>29</v>
      </c>
      <c r="B35" s="274">
        <f t="shared" ref="B35:H36" si="61">K35+S35+AK35</f>
        <v>109.7</v>
      </c>
      <c r="C35" s="274">
        <f t="shared" si="61"/>
        <v>8934</v>
      </c>
      <c r="D35" s="274">
        <f t="shared" si="61"/>
        <v>8280</v>
      </c>
      <c r="E35" s="274">
        <f t="shared" si="61"/>
        <v>0</v>
      </c>
      <c r="F35" s="274">
        <f t="shared" si="61"/>
        <v>2203</v>
      </c>
      <c r="G35" s="274">
        <f t="shared" si="61"/>
        <v>724</v>
      </c>
      <c r="H35" s="274">
        <f t="shared" si="61"/>
        <v>5353</v>
      </c>
      <c r="I35" s="279"/>
      <c r="J35" s="228" t="s">
        <v>29</v>
      </c>
      <c r="K35" s="228">
        <v>2.7</v>
      </c>
      <c r="L35" s="228">
        <v>163</v>
      </c>
      <c r="M35" s="228">
        <f>+N35+O35+P35+Q35</f>
        <v>141</v>
      </c>
      <c r="N35" s="228">
        <v>0</v>
      </c>
      <c r="O35" s="228">
        <v>16</v>
      </c>
      <c r="P35" s="228">
        <v>16</v>
      </c>
      <c r="Q35" s="228">
        <v>109</v>
      </c>
      <c r="R35" s="228" t="s">
        <v>29</v>
      </c>
      <c r="S35" s="280">
        <v>105.1</v>
      </c>
      <c r="T35" s="228">
        <v>8706</v>
      </c>
      <c r="U35" s="228">
        <f>+V35+W35+X35+Y35</f>
        <v>8082</v>
      </c>
      <c r="V35" s="228">
        <v>0</v>
      </c>
      <c r="W35" s="228">
        <v>2179</v>
      </c>
      <c r="X35" s="228">
        <v>702</v>
      </c>
      <c r="Y35" s="228">
        <v>5201</v>
      </c>
      <c r="Z35" s="279"/>
      <c r="AA35" s="228" t="s">
        <v>29</v>
      </c>
      <c r="AB35" s="280">
        <v>2.1</v>
      </c>
      <c r="AC35" s="228">
        <v>20</v>
      </c>
      <c r="AD35" s="228">
        <f>+AE35+AF35+AG35+AH35</f>
        <v>43</v>
      </c>
      <c r="AE35" s="228">
        <v>0</v>
      </c>
      <c r="AF35" s="228">
        <v>6</v>
      </c>
      <c r="AG35" s="228">
        <v>4</v>
      </c>
      <c r="AH35" s="228">
        <v>33</v>
      </c>
      <c r="AI35" s="279"/>
      <c r="AJ35" s="228" t="s">
        <v>29</v>
      </c>
      <c r="AK35" s="228">
        <v>1.9</v>
      </c>
      <c r="AL35" s="228">
        <v>65</v>
      </c>
      <c r="AM35" s="228">
        <f>+AN35+AO35+AP35+AQ35</f>
        <v>57</v>
      </c>
      <c r="AN35" s="228">
        <v>0</v>
      </c>
      <c r="AO35" s="228">
        <v>8</v>
      </c>
      <c r="AP35" s="228">
        <v>6</v>
      </c>
      <c r="AQ35" s="228">
        <v>43</v>
      </c>
      <c r="AT35" s="521"/>
      <c r="AU35" s="521"/>
      <c r="AV35" s="521"/>
      <c r="AW35" s="521"/>
    </row>
    <row r="36" spans="1:51">
      <c r="A36" s="244" t="s">
        <v>30</v>
      </c>
      <c r="B36" s="43">
        <f t="shared" si="61"/>
        <v>99.5</v>
      </c>
      <c r="C36" s="43">
        <f t="shared" si="61"/>
        <v>12510</v>
      </c>
      <c r="D36" s="43">
        <f t="shared" si="61"/>
        <v>10530</v>
      </c>
      <c r="E36" s="43">
        <f t="shared" si="61"/>
        <v>166</v>
      </c>
      <c r="F36" s="43">
        <f t="shared" si="61"/>
        <v>1502</v>
      </c>
      <c r="G36" s="43">
        <f t="shared" si="61"/>
        <v>1018</v>
      </c>
      <c r="H36" s="43">
        <f t="shared" si="61"/>
        <v>7844</v>
      </c>
      <c r="I36" s="279"/>
      <c r="J36" s="244" t="s">
        <v>30</v>
      </c>
      <c r="K36" s="244">
        <v>8.1</v>
      </c>
      <c r="L36" s="244">
        <v>850</v>
      </c>
      <c r="M36" s="244">
        <f>+N36+O36+P36+Q36</f>
        <v>740</v>
      </c>
      <c r="N36" s="244">
        <v>20</v>
      </c>
      <c r="O36" s="244">
        <v>206</v>
      </c>
      <c r="P36" s="244">
        <v>68</v>
      </c>
      <c r="Q36" s="244">
        <v>446</v>
      </c>
      <c r="R36" s="244" t="s">
        <v>30</v>
      </c>
      <c r="S36" s="244">
        <v>91.4</v>
      </c>
      <c r="T36" s="244">
        <v>11660</v>
      </c>
      <c r="U36" s="244">
        <f>+V36+W36+X36+Y36</f>
        <v>9790</v>
      </c>
      <c r="V36" s="244">
        <v>146</v>
      </c>
      <c r="W36" s="244">
        <v>1296</v>
      </c>
      <c r="X36" s="244">
        <v>950</v>
      </c>
      <c r="Y36" s="244">
        <v>7398</v>
      </c>
      <c r="Z36" s="279"/>
      <c r="AA36" s="244" t="s">
        <v>30</v>
      </c>
      <c r="AB36" s="244">
        <v>1.1000000000000001</v>
      </c>
      <c r="AC36" s="244">
        <v>200</v>
      </c>
      <c r="AD36" s="244">
        <f>+AE36+AF36+AG36+AH36</f>
        <v>162</v>
      </c>
      <c r="AE36" s="244">
        <v>48</v>
      </c>
      <c r="AF36" s="244">
        <v>19</v>
      </c>
      <c r="AG36" s="244">
        <v>8</v>
      </c>
      <c r="AH36" s="244">
        <v>87</v>
      </c>
      <c r="AI36" s="279"/>
      <c r="AJ36" s="244" t="s">
        <v>30</v>
      </c>
      <c r="AK36" s="244"/>
      <c r="AL36" s="244"/>
      <c r="AM36" s="244"/>
      <c r="AN36" s="244"/>
      <c r="AO36" s="244"/>
      <c r="AP36" s="244"/>
      <c r="AQ36" s="244"/>
    </row>
    <row r="37" spans="1:51" ht="15.6">
      <c r="A37" s="244" t="s">
        <v>12</v>
      </c>
      <c r="B37" s="278">
        <f t="shared" ref="B37:H37" si="62">B36/B35*100</f>
        <v>90.701914311759353</v>
      </c>
      <c r="C37" s="278">
        <f t="shared" si="62"/>
        <v>140.02686366689053</v>
      </c>
      <c r="D37" s="278">
        <f t="shared" si="62"/>
        <v>127.17391304347827</v>
      </c>
      <c r="E37" s="278" t="e">
        <f t="shared" si="62"/>
        <v>#DIV/0!</v>
      </c>
      <c r="F37" s="278">
        <f t="shared" si="62"/>
        <v>68.179754879709492</v>
      </c>
      <c r="G37" s="278">
        <f t="shared" si="62"/>
        <v>140.60773480662982</v>
      </c>
      <c r="H37" s="278">
        <f t="shared" si="62"/>
        <v>146.53465346534654</v>
      </c>
      <c r="I37" s="279"/>
      <c r="J37" s="244" t="s">
        <v>12</v>
      </c>
      <c r="K37" s="278">
        <f t="shared" ref="K37:Q37" si="63">K36/K35*100</f>
        <v>299.99999999999994</v>
      </c>
      <c r="L37" s="278">
        <f t="shared" si="63"/>
        <v>521.47239263803681</v>
      </c>
      <c r="M37" s="278">
        <f t="shared" si="63"/>
        <v>524.82269503546104</v>
      </c>
      <c r="N37" s="278" t="e">
        <f t="shared" si="63"/>
        <v>#DIV/0!</v>
      </c>
      <c r="O37" s="278">
        <f t="shared" si="63"/>
        <v>1287.5</v>
      </c>
      <c r="P37" s="278">
        <f t="shared" si="63"/>
        <v>425</v>
      </c>
      <c r="Q37" s="278">
        <f t="shared" si="63"/>
        <v>409.17431192660547</v>
      </c>
      <c r="R37" s="244" t="s">
        <v>12</v>
      </c>
      <c r="S37" s="278">
        <f t="shared" ref="S37:Y37" si="64">S36/S35*100</f>
        <v>86.964795432921036</v>
      </c>
      <c r="T37" s="278">
        <f t="shared" si="64"/>
        <v>133.93062255915459</v>
      </c>
      <c r="U37" s="278">
        <f t="shared" si="64"/>
        <v>121.13338282603317</v>
      </c>
      <c r="V37" s="278" t="e">
        <f t="shared" si="64"/>
        <v>#DIV/0!</v>
      </c>
      <c r="W37" s="278">
        <f t="shared" si="64"/>
        <v>59.476824231298764</v>
      </c>
      <c r="X37" s="278">
        <f t="shared" si="64"/>
        <v>135.32763532763533</v>
      </c>
      <c r="Y37" s="278">
        <f t="shared" si="64"/>
        <v>142.24187656219956</v>
      </c>
      <c r="Z37" s="279"/>
      <c r="AA37" s="244" t="s">
        <v>12</v>
      </c>
      <c r="AB37" s="278">
        <f t="shared" ref="AB37:AH37" si="65">AB36/AB35*100</f>
        <v>52.380952380952387</v>
      </c>
      <c r="AC37" s="278">
        <f t="shared" si="65"/>
        <v>1000</v>
      </c>
      <c r="AD37" s="278">
        <f t="shared" si="65"/>
        <v>376.74418604651163</v>
      </c>
      <c r="AE37" s="278" t="e">
        <f t="shared" si="65"/>
        <v>#DIV/0!</v>
      </c>
      <c r="AF37" s="278">
        <f t="shared" si="65"/>
        <v>316.66666666666663</v>
      </c>
      <c r="AG37" s="278">
        <f t="shared" si="65"/>
        <v>200</v>
      </c>
      <c r="AH37" s="278">
        <f t="shared" si="65"/>
        <v>263.63636363636363</v>
      </c>
      <c r="AI37" s="279"/>
      <c r="AJ37" s="244" t="s">
        <v>12</v>
      </c>
      <c r="AK37" s="278">
        <f t="shared" ref="AK37:AQ37" si="66">AK36/AK35*100</f>
        <v>0</v>
      </c>
      <c r="AL37" s="278">
        <f t="shared" si="66"/>
        <v>0</v>
      </c>
      <c r="AM37" s="278">
        <f t="shared" si="66"/>
        <v>0</v>
      </c>
      <c r="AN37" s="278" t="e">
        <f t="shared" si="66"/>
        <v>#DIV/0!</v>
      </c>
      <c r="AO37" s="278">
        <f t="shared" si="66"/>
        <v>0</v>
      </c>
      <c r="AP37" s="278">
        <f t="shared" si="66"/>
        <v>0</v>
      </c>
      <c r="AQ37" s="278">
        <f t="shared" si="66"/>
        <v>0</v>
      </c>
      <c r="AV37" s="521"/>
      <c r="AW37" s="521"/>
      <c r="AX37" s="521"/>
      <c r="AY37" s="521"/>
    </row>
    <row r="38" spans="1:51">
      <c r="A38" s="228" t="s">
        <v>31</v>
      </c>
      <c r="B38" s="274">
        <f t="shared" ref="B38:H39" si="67">K38+S38+AK38</f>
        <v>197.6</v>
      </c>
      <c r="C38" s="274">
        <f t="shared" si="67"/>
        <v>9174</v>
      </c>
      <c r="D38" s="274">
        <f t="shared" si="67"/>
        <v>7873</v>
      </c>
      <c r="E38" s="274">
        <f t="shared" si="67"/>
        <v>1299</v>
      </c>
      <c r="F38" s="274">
        <f t="shared" si="67"/>
        <v>2449</v>
      </c>
      <c r="G38" s="274">
        <f t="shared" si="67"/>
        <v>340</v>
      </c>
      <c r="H38" s="274">
        <f t="shared" si="67"/>
        <v>3785</v>
      </c>
      <c r="I38" s="279"/>
      <c r="J38" s="228" t="s">
        <v>31</v>
      </c>
      <c r="K38" s="228">
        <v>135</v>
      </c>
      <c r="L38" s="228">
        <v>4824</v>
      </c>
      <c r="M38" s="228">
        <f>+N38+O38+P38+Q38</f>
        <v>4199</v>
      </c>
      <c r="N38" s="228">
        <v>319</v>
      </c>
      <c r="O38" s="228">
        <v>1600</v>
      </c>
      <c r="P38" s="228">
        <v>221</v>
      </c>
      <c r="Q38" s="228">
        <v>2059</v>
      </c>
      <c r="R38" s="228" t="s">
        <v>31</v>
      </c>
      <c r="S38" s="228">
        <v>60</v>
      </c>
      <c r="T38" s="228">
        <v>4204</v>
      </c>
      <c r="U38" s="228">
        <f>+Y38+X38+W38+V38</f>
        <v>3545</v>
      </c>
      <c r="V38" s="228">
        <v>980</v>
      </c>
      <c r="W38" s="228">
        <v>833</v>
      </c>
      <c r="X38" s="228">
        <v>104</v>
      </c>
      <c r="Y38" s="228">
        <v>1628</v>
      </c>
      <c r="Z38" s="279"/>
      <c r="AA38" s="228" t="s">
        <v>31</v>
      </c>
      <c r="AB38" s="228">
        <v>42.6</v>
      </c>
      <c r="AC38" s="228">
        <v>3344</v>
      </c>
      <c r="AD38" s="228">
        <f>SUM(+AE38+AF38+AG38+AH38)</f>
        <v>2948</v>
      </c>
      <c r="AE38" s="228">
        <v>884</v>
      </c>
      <c r="AF38" s="228">
        <v>611</v>
      </c>
      <c r="AG38" s="228">
        <v>68</v>
      </c>
      <c r="AH38" s="228">
        <v>1385</v>
      </c>
      <c r="AI38" s="279"/>
      <c r="AJ38" s="228" t="s">
        <v>31</v>
      </c>
      <c r="AK38" s="228">
        <v>2.6</v>
      </c>
      <c r="AL38" s="228">
        <v>146</v>
      </c>
      <c r="AM38" s="228">
        <f>+AN38+AO38+AP38+AQ38</f>
        <v>129</v>
      </c>
      <c r="AN38" s="228">
        <v>0</v>
      </c>
      <c r="AO38" s="228">
        <v>16</v>
      </c>
      <c r="AP38" s="228">
        <v>15</v>
      </c>
      <c r="AQ38" s="228">
        <v>98</v>
      </c>
      <c r="AS38" s="203"/>
    </row>
    <row r="39" spans="1:51">
      <c r="A39" s="244" t="s">
        <v>32</v>
      </c>
      <c r="B39" s="43">
        <f t="shared" si="67"/>
        <v>133.4</v>
      </c>
      <c r="C39" s="43">
        <f t="shared" si="67"/>
        <v>7700</v>
      </c>
      <c r="D39" s="43">
        <f t="shared" si="67"/>
        <v>6422</v>
      </c>
      <c r="E39" s="43">
        <f t="shared" si="67"/>
        <v>899</v>
      </c>
      <c r="F39" s="43">
        <f t="shared" si="67"/>
        <v>1044</v>
      </c>
      <c r="G39" s="43">
        <f t="shared" si="67"/>
        <v>420</v>
      </c>
      <c r="H39" s="43">
        <f t="shared" si="67"/>
        <v>4059</v>
      </c>
      <c r="I39" s="279"/>
      <c r="J39" s="244" t="s">
        <v>32</v>
      </c>
      <c r="K39" s="244">
        <v>96.2</v>
      </c>
      <c r="L39" s="244">
        <v>4320</v>
      </c>
      <c r="M39" s="244">
        <f>+N39+O39+P39+Q39</f>
        <v>3533</v>
      </c>
      <c r="N39" s="244">
        <v>118</v>
      </c>
      <c r="O39" s="244">
        <v>511</v>
      </c>
      <c r="P39" s="244">
        <v>279</v>
      </c>
      <c r="Q39" s="244">
        <v>2625</v>
      </c>
      <c r="R39" s="244" t="s">
        <v>32</v>
      </c>
      <c r="S39" s="244">
        <v>37.200000000000003</v>
      </c>
      <c r="T39" s="244">
        <v>3380</v>
      </c>
      <c r="U39" s="244">
        <f>+V39+W39+X39+Y39</f>
        <v>2889</v>
      </c>
      <c r="V39" s="244">
        <v>781</v>
      </c>
      <c r="W39" s="244">
        <v>533</v>
      </c>
      <c r="X39" s="244">
        <v>141</v>
      </c>
      <c r="Y39" s="244">
        <v>1434</v>
      </c>
      <c r="Z39" s="279"/>
      <c r="AA39" s="244" t="s">
        <v>32</v>
      </c>
      <c r="AB39" s="244">
        <v>31.3</v>
      </c>
      <c r="AC39" s="244">
        <v>2980</v>
      </c>
      <c r="AD39" s="244">
        <f>+AE39+AF39+AG39+AH39</f>
        <v>2558</v>
      </c>
      <c r="AE39" s="244">
        <v>768</v>
      </c>
      <c r="AF39" s="244">
        <v>521</v>
      </c>
      <c r="AG39" s="244">
        <v>136</v>
      </c>
      <c r="AH39" s="244">
        <v>1133</v>
      </c>
      <c r="AI39" s="279"/>
      <c r="AJ39" s="244" t="s">
        <v>32</v>
      </c>
      <c r="AK39" s="244"/>
      <c r="AL39" s="244"/>
      <c r="AM39" s="244"/>
      <c r="AN39" s="244"/>
      <c r="AO39" s="244"/>
      <c r="AP39" s="244"/>
      <c r="AQ39" s="244"/>
      <c r="AT39" s="203"/>
    </row>
    <row r="40" spans="1:51">
      <c r="A40" s="244" t="s">
        <v>12</v>
      </c>
      <c r="B40" s="278">
        <f t="shared" ref="B40:H40" si="68">B39/B38*100</f>
        <v>67.510121457489873</v>
      </c>
      <c r="C40" s="278">
        <f t="shared" si="68"/>
        <v>83.932853717026376</v>
      </c>
      <c r="D40" s="278">
        <f t="shared" si="68"/>
        <v>81.569922520005079</v>
      </c>
      <c r="E40" s="278">
        <f t="shared" si="68"/>
        <v>69.207082371054668</v>
      </c>
      <c r="F40" s="278">
        <f t="shared" si="68"/>
        <v>42.629644752960395</v>
      </c>
      <c r="G40" s="278">
        <f t="shared" si="68"/>
        <v>123.52941176470588</v>
      </c>
      <c r="H40" s="278">
        <f t="shared" si="68"/>
        <v>107.23910171730515</v>
      </c>
      <c r="I40" s="279"/>
      <c r="J40" s="244" t="s">
        <v>12</v>
      </c>
      <c r="K40" s="278">
        <f t="shared" ref="K40:Q40" si="69">K39/K38*100</f>
        <v>71.259259259259267</v>
      </c>
      <c r="L40" s="278">
        <f t="shared" si="69"/>
        <v>89.552238805970148</v>
      </c>
      <c r="M40" s="278">
        <f t="shared" si="69"/>
        <v>84.139080733507981</v>
      </c>
      <c r="N40" s="278">
        <f t="shared" si="69"/>
        <v>36.990595611285265</v>
      </c>
      <c r="O40" s="278">
        <f t="shared" si="69"/>
        <v>31.937500000000004</v>
      </c>
      <c r="P40" s="278">
        <f t="shared" si="69"/>
        <v>126.24434389140271</v>
      </c>
      <c r="Q40" s="278">
        <f t="shared" si="69"/>
        <v>127.48907236522584</v>
      </c>
      <c r="R40" s="244" t="s">
        <v>12</v>
      </c>
      <c r="S40" s="278">
        <f t="shared" ref="S40:Y40" si="70">S39/S38*100</f>
        <v>62</v>
      </c>
      <c r="T40" s="278">
        <f t="shared" si="70"/>
        <v>80.399619410085634</v>
      </c>
      <c r="U40" s="278">
        <f t="shared" si="70"/>
        <v>81.4950634696756</v>
      </c>
      <c r="V40" s="278">
        <f t="shared" si="70"/>
        <v>79.693877551020407</v>
      </c>
      <c r="W40" s="278">
        <f t="shared" si="70"/>
        <v>63.985594237695075</v>
      </c>
      <c r="X40" s="278">
        <f t="shared" si="70"/>
        <v>135.57692307692309</v>
      </c>
      <c r="Y40" s="278">
        <f t="shared" si="70"/>
        <v>88.083538083538087</v>
      </c>
      <c r="Z40" s="279"/>
      <c r="AA40" s="244" t="s">
        <v>12</v>
      </c>
      <c r="AB40" s="278">
        <f t="shared" ref="AB40:AG40" si="71">AB39/AB38*100</f>
        <v>73.474178403755857</v>
      </c>
      <c r="AC40" s="278">
        <f t="shared" si="71"/>
        <v>89.114832535885171</v>
      </c>
      <c r="AD40" s="278">
        <f t="shared" si="71"/>
        <v>86.770691994572587</v>
      </c>
      <c r="AE40" s="278">
        <f t="shared" si="71"/>
        <v>86.877828054298647</v>
      </c>
      <c r="AF40" s="278">
        <f t="shared" si="71"/>
        <v>85.270049099836328</v>
      </c>
      <c r="AG40" s="278">
        <f t="shared" si="71"/>
        <v>200</v>
      </c>
      <c r="AH40" s="278">
        <f>+AH39/AH38*100</f>
        <v>81.805054151624546</v>
      </c>
      <c r="AI40" s="279"/>
      <c r="AJ40" s="244" t="s">
        <v>12</v>
      </c>
      <c r="AK40" s="278">
        <f t="shared" ref="AK40:AQ40" si="72">AK39/AK38*100</f>
        <v>0</v>
      </c>
      <c r="AL40" s="278">
        <f t="shared" si="72"/>
        <v>0</v>
      </c>
      <c r="AM40" s="278">
        <f t="shared" si="72"/>
        <v>0</v>
      </c>
      <c r="AN40" s="278" t="e">
        <f t="shared" si="72"/>
        <v>#DIV/0!</v>
      </c>
      <c r="AO40" s="278">
        <f t="shared" si="72"/>
        <v>0</v>
      </c>
      <c r="AP40" s="278">
        <f t="shared" si="72"/>
        <v>0</v>
      </c>
      <c r="AQ40" s="278">
        <f t="shared" si="72"/>
        <v>0</v>
      </c>
    </row>
    <row r="41" spans="1:51" s="37" customFormat="1" ht="15.6">
      <c r="A41" s="73"/>
      <c r="H41" s="74"/>
      <c r="Q41" s="74"/>
      <c r="Y41" s="74"/>
      <c r="AH41" s="74"/>
      <c r="AQ41" s="74"/>
    </row>
    <row r="42" spans="1:51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51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51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51">
      <c r="A46" s="82" t="s">
        <v>40</v>
      </c>
      <c r="B46" s="83">
        <f t="shared" ref="B46:H47" si="73">K9+S9+AK9</f>
        <v>816.59999999999991</v>
      </c>
      <c r="C46" s="83">
        <f t="shared" si="73"/>
        <v>45410</v>
      </c>
      <c r="D46" s="83">
        <f t="shared" si="73"/>
        <v>40827</v>
      </c>
      <c r="E46" s="83">
        <f t="shared" si="73"/>
        <v>2985</v>
      </c>
      <c r="F46" s="83">
        <f t="shared" si="73"/>
        <v>9087</v>
      </c>
      <c r="G46" s="83">
        <f t="shared" si="73"/>
        <v>1590</v>
      </c>
      <c r="H46" s="83">
        <f t="shared" si="73"/>
        <v>27165</v>
      </c>
    </row>
    <row r="47" spans="1:51">
      <c r="A47" s="84" t="s">
        <v>50</v>
      </c>
      <c r="B47" s="83">
        <f t="shared" si="73"/>
        <v>854</v>
      </c>
      <c r="C47" s="83">
        <f t="shared" si="73"/>
        <v>47490</v>
      </c>
      <c r="D47" s="83">
        <f t="shared" si="73"/>
        <v>40825</v>
      </c>
      <c r="E47" s="83">
        <f t="shared" si="73"/>
        <v>3539</v>
      </c>
      <c r="F47" s="83">
        <f t="shared" si="73"/>
        <v>5056</v>
      </c>
      <c r="G47" s="83">
        <f t="shared" si="73"/>
        <v>2364</v>
      </c>
      <c r="H47" s="83">
        <f t="shared" si="73"/>
        <v>29866</v>
      </c>
    </row>
    <row r="48" spans="1:51">
      <c r="A48" s="85" t="s">
        <v>44</v>
      </c>
      <c r="B48" s="86">
        <f>B47/B46*100</f>
        <v>104.57996571148666</v>
      </c>
      <c r="C48" s="86">
        <f t="shared" ref="C48:H48" si="74">C47/C46*100</f>
        <v>104.58048887910152</v>
      </c>
      <c r="D48" s="86">
        <f t="shared" si="74"/>
        <v>99.995101281015025</v>
      </c>
      <c r="E48" s="86">
        <f t="shared" si="74"/>
        <v>118.55946398659967</v>
      </c>
      <c r="F48" s="86">
        <f t="shared" si="74"/>
        <v>55.63992516782217</v>
      </c>
      <c r="G48" s="86">
        <f t="shared" si="74"/>
        <v>148.67924528301884</v>
      </c>
      <c r="H48" s="86">
        <f t="shared" si="74"/>
        <v>109.94294128474141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75">K13+S13+AK13</f>
        <v>15.200000000000001</v>
      </c>
      <c r="C50" s="90">
        <f t="shared" si="75"/>
        <v>1189</v>
      </c>
      <c r="D50" s="90">
        <f t="shared" si="75"/>
        <v>1027</v>
      </c>
      <c r="E50" s="90">
        <f t="shared" si="75"/>
        <v>492</v>
      </c>
      <c r="F50" s="90">
        <f t="shared" si="75"/>
        <v>153</v>
      </c>
      <c r="G50" s="90">
        <f t="shared" si="75"/>
        <v>34</v>
      </c>
      <c r="H50" s="90">
        <f t="shared" si="75"/>
        <v>348</v>
      </c>
    </row>
    <row r="51" spans="1:8">
      <c r="A51" s="75" t="s">
        <v>50</v>
      </c>
      <c r="B51" s="90">
        <f t="shared" si="75"/>
        <v>10.700000000000001</v>
      </c>
      <c r="C51" s="90">
        <f t="shared" si="75"/>
        <v>760</v>
      </c>
      <c r="D51" s="90">
        <f t="shared" si="75"/>
        <v>655</v>
      </c>
      <c r="E51" s="90">
        <f t="shared" si="75"/>
        <v>289</v>
      </c>
      <c r="F51" s="90">
        <f t="shared" si="75"/>
        <v>70</v>
      </c>
      <c r="G51" s="90">
        <f t="shared" si="75"/>
        <v>0</v>
      </c>
      <c r="H51" s="90">
        <f t="shared" si="75"/>
        <v>296</v>
      </c>
    </row>
    <row r="52" spans="1:8">
      <c r="A52" s="75" t="s">
        <v>44</v>
      </c>
      <c r="B52" s="91">
        <f t="shared" ref="B52:H52" si="76">B51/B50*100</f>
        <v>70.39473684210526</v>
      </c>
      <c r="C52" s="91">
        <f t="shared" si="76"/>
        <v>63.919259882253996</v>
      </c>
      <c r="D52" s="91">
        <f t="shared" si="76"/>
        <v>63.777994157740991</v>
      </c>
      <c r="E52" s="91">
        <f t="shared" si="76"/>
        <v>58.739837398373986</v>
      </c>
      <c r="F52" s="91">
        <f t="shared" si="76"/>
        <v>45.751633986928105</v>
      </c>
      <c r="G52" s="91">
        <f t="shared" si="76"/>
        <v>0</v>
      </c>
      <c r="H52" s="91">
        <f t="shared" si="76"/>
        <v>85.057471264367805</v>
      </c>
    </row>
    <row r="53" spans="1:8">
      <c r="A53" s="75" t="s">
        <v>13</v>
      </c>
      <c r="B53" s="90">
        <f t="shared" ref="B53:H55" si="77">K16+S16+AK16</f>
        <v>0</v>
      </c>
      <c r="C53" s="90">
        <f t="shared" si="77"/>
        <v>0</v>
      </c>
      <c r="D53" s="90">
        <f t="shared" si="77"/>
        <v>0</v>
      </c>
      <c r="E53" s="90">
        <f t="shared" si="77"/>
        <v>0</v>
      </c>
      <c r="F53" s="90">
        <f t="shared" si="77"/>
        <v>0</v>
      </c>
      <c r="G53" s="90">
        <f t="shared" si="77"/>
        <v>0</v>
      </c>
      <c r="H53" s="90">
        <f t="shared" si="77"/>
        <v>0</v>
      </c>
    </row>
    <row r="54" spans="1:8">
      <c r="A54" s="92" t="s">
        <v>14</v>
      </c>
      <c r="B54" s="90">
        <f t="shared" si="77"/>
        <v>0</v>
      </c>
      <c r="C54" s="90">
        <f t="shared" si="77"/>
        <v>0</v>
      </c>
      <c r="D54" s="90">
        <f t="shared" si="77"/>
        <v>0</v>
      </c>
      <c r="E54" s="90">
        <f t="shared" si="77"/>
        <v>0</v>
      </c>
      <c r="F54" s="90">
        <f t="shared" si="77"/>
        <v>0</v>
      </c>
      <c r="G54" s="90">
        <f t="shared" si="77"/>
        <v>0</v>
      </c>
      <c r="H54" s="90">
        <f t="shared" si="77"/>
        <v>0</v>
      </c>
    </row>
    <row r="55" spans="1:8">
      <c r="A55" s="75" t="s">
        <v>15</v>
      </c>
      <c r="B55" s="90">
        <f t="shared" si="77"/>
        <v>0</v>
      </c>
      <c r="C55" s="90">
        <f t="shared" si="77"/>
        <v>0</v>
      </c>
      <c r="D55" s="90">
        <f t="shared" si="77"/>
        <v>0</v>
      </c>
      <c r="E55" s="90">
        <f t="shared" si="77"/>
        <v>0</v>
      </c>
      <c r="F55" s="90">
        <f t="shared" si="77"/>
        <v>0</v>
      </c>
      <c r="G55" s="90">
        <f t="shared" si="77"/>
        <v>0</v>
      </c>
      <c r="H55" s="90">
        <f t="shared" si="77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78">K20+S20+AK20</f>
        <v>801.4</v>
      </c>
      <c r="C57" s="90">
        <f t="shared" si="78"/>
        <v>44221</v>
      </c>
      <c r="D57" s="90">
        <f t="shared" si="78"/>
        <v>39800</v>
      </c>
      <c r="E57" s="90">
        <f t="shared" si="78"/>
        <v>2493</v>
      </c>
      <c r="F57" s="90">
        <f t="shared" si="78"/>
        <v>8934</v>
      </c>
      <c r="G57" s="90">
        <f t="shared" si="78"/>
        <v>1556</v>
      </c>
      <c r="H57" s="90">
        <f t="shared" si="78"/>
        <v>26817</v>
      </c>
    </row>
    <row r="58" spans="1:8">
      <c r="A58" s="92" t="s">
        <v>50</v>
      </c>
      <c r="B58" s="90">
        <f t="shared" si="78"/>
        <v>843.3</v>
      </c>
      <c r="C58" s="90">
        <f t="shared" si="78"/>
        <v>46730</v>
      </c>
      <c r="D58" s="90">
        <f t="shared" si="78"/>
        <v>40170</v>
      </c>
      <c r="E58" s="90">
        <f t="shared" si="78"/>
        <v>3250</v>
      </c>
      <c r="F58" s="90">
        <f t="shared" si="78"/>
        <v>4986</v>
      </c>
      <c r="G58" s="90">
        <f t="shared" si="78"/>
        <v>2364</v>
      </c>
      <c r="H58" s="90">
        <f t="shared" si="78"/>
        <v>29570</v>
      </c>
    </row>
    <row r="59" spans="1:8">
      <c r="A59" s="75" t="s">
        <v>44</v>
      </c>
      <c r="B59" s="91">
        <f t="shared" ref="B59:H59" si="79">B58/B57*100</f>
        <v>105.22835038682305</v>
      </c>
      <c r="C59" s="91">
        <f t="shared" si="79"/>
        <v>105.67377490332647</v>
      </c>
      <c r="D59" s="91">
        <f t="shared" si="79"/>
        <v>100.92964824120602</v>
      </c>
      <c r="E59" s="91">
        <f t="shared" si="79"/>
        <v>130.36502206177295</v>
      </c>
      <c r="F59" s="91">
        <f t="shared" si="79"/>
        <v>55.80926796507724</v>
      </c>
      <c r="G59" s="91">
        <f t="shared" si="79"/>
        <v>151.92802056555271</v>
      </c>
      <c r="H59" s="91">
        <f t="shared" si="79"/>
        <v>110.26587612335459</v>
      </c>
    </row>
    <row r="60" spans="1:8">
      <c r="A60" s="75" t="s">
        <v>21</v>
      </c>
      <c r="B60" s="90">
        <f t="shared" ref="B60:H61" si="80">K23+S23+AK23</f>
        <v>0</v>
      </c>
      <c r="C60" s="90">
        <f t="shared" si="80"/>
        <v>0</v>
      </c>
      <c r="D60" s="90">
        <f t="shared" si="80"/>
        <v>0</v>
      </c>
      <c r="E60" s="90">
        <f t="shared" si="80"/>
        <v>0</v>
      </c>
      <c r="F60" s="90">
        <f t="shared" si="80"/>
        <v>0</v>
      </c>
      <c r="G60" s="90">
        <f t="shared" si="80"/>
        <v>0</v>
      </c>
      <c r="H60" s="90">
        <f t="shared" si="80"/>
        <v>0</v>
      </c>
    </row>
    <row r="61" spans="1:8">
      <c r="A61" s="75" t="s">
        <v>51</v>
      </c>
      <c r="B61" s="90">
        <f t="shared" si="80"/>
        <v>0</v>
      </c>
      <c r="C61" s="90">
        <f t="shared" si="80"/>
        <v>0</v>
      </c>
      <c r="D61" s="90">
        <f t="shared" si="80"/>
        <v>0</v>
      </c>
      <c r="E61" s="90">
        <f t="shared" si="80"/>
        <v>0</v>
      </c>
      <c r="F61" s="90">
        <f t="shared" si="80"/>
        <v>0</v>
      </c>
      <c r="G61" s="90">
        <f t="shared" si="80"/>
        <v>0</v>
      </c>
      <c r="H61" s="90">
        <f t="shared" si="80"/>
        <v>0</v>
      </c>
    </row>
    <row r="62" spans="1:8">
      <c r="A62" s="75" t="s">
        <v>12</v>
      </c>
      <c r="B62" s="91" t="e">
        <f t="shared" ref="B62:H62" si="81">B61/B60*100</f>
        <v>#DIV/0!</v>
      </c>
      <c r="C62" s="91" t="e">
        <f t="shared" si="81"/>
        <v>#DIV/0!</v>
      </c>
      <c r="D62" s="91" t="e">
        <f t="shared" si="81"/>
        <v>#DIV/0!</v>
      </c>
      <c r="E62" s="91" t="e">
        <f t="shared" si="81"/>
        <v>#DIV/0!</v>
      </c>
      <c r="F62" s="91" t="e">
        <f t="shared" si="81"/>
        <v>#DIV/0!</v>
      </c>
      <c r="G62" s="91" t="e">
        <f t="shared" si="81"/>
        <v>#DIV/0!</v>
      </c>
      <c r="H62" s="91" t="e">
        <f t="shared" si="81"/>
        <v>#DIV/0!</v>
      </c>
    </row>
    <row r="63" spans="1:8">
      <c r="A63" s="75" t="s">
        <v>23</v>
      </c>
      <c r="B63" s="90">
        <f t="shared" ref="B63:H64" si="82">K26+S26+AK26</f>
        <v>62.1</v>
      </c>
      <c r="C63" s="90">
        <f t="shared" si="82"/>
        <v>2501</v>
      </c>
      <c r="D63" s="90">
        <f t="shared" si="82"/>
        <v>2234</v>
      </c>
      <c r="E63" s="90">
        <f t="shared" si="82"/>
        <v>62</v>
      </c>
      <c r="F63" s="90">
        <f t="shared" si="82"/>
        <v>399</v>
      </c>
      <c r="G63" s="90">
        <f t="shared" si="82"/>
        <v>85</v>
      </c>
      <c r="H63" s="90">
        <f t="shared" si="82"/>
        <v>1688</v>
      </c>
    </row>
    <row r="64" spans="1:8">
      <c r="A64" s="75" t="s">
        <v>45</v>
      </c>
      <c r="B64" s="90">
        <f t="shared" si="82"/>
        <v>59.3</v>
      </c>
      <c r="C64" s="90">
        <f t="shared" si="82"/>
        <v>1690</v>
      </c>
      <c r="D64" s="90">
        <f t="shared" si="82"/>
        <v>1426</v>
      </c>
      <c r="E64" s="90">
        <f t="shared" si="82"/>
        <v>115</v>
      </c>
      <c r="F64" s="90">
        <f t="shared" si="82"/>
        <v>187</v>
      </c>
      <c r="G64" s="90">
        <f t="shared" si="82"/>
        <v>56</v>
      </c>
      <c r="H64" s="90">
        <f t="shared" si="82"/>
        <v>1068</v>
      </c>
    </row>
    <row r="65" spans="1:8">
      <c r="A65" s="75" t="s">
        <v>12</v>
      </c>
      <c r="B65" s="91">
        <f t="shared" ref="B65:H65" si="83">B64/B63*100</f>
        <v>95.491143317230268</v>
      </c>
      <c r="C65" s="91">
        <f t="shared" si="83"/>
        <v>67.572970811675333</v>
      </c>
      <c r="D65" s="91">
        <f t="shared" si="83"/>
        <v>63.831692032229185</v>
      </c>
      <c r="E65" s="91">
        <f t="shared" si="83"/>
        <v>185.48387096774192</v>
      </c>
      <c r="F65" s="91">
        <f t="shared" si="83"/>
        <v>46.867167919799499</v>
      </c>
      <c r="G65" s="91">
        <f t="shared" si="83"/>
        <v>65.882352941176464</v>
      </c>
      <c r="H65" s="91">
        <f t="shared" si="83"/>
        <v>63.270142180094794</v>
      </c>
    </row>
    <row r="66" spans="1:8">
      <c r="A66" s="75" t="s">
        <v>25</v>
      </c>
      <c r="B66" s="90">
        <f t="shared" ref="B66:H67" si="84">K29+S29+AK29</f>
        <v>430.7</v>
      </c>
      <c r="C66" s="90">
        <f t="shared" si="84"/>
        <v>23481</v>
      </c>
      <c r="D66" s="90">
        <f t="shared" si="84"/>
        <v>21291</v>
      </c>
      <c r="E66" s="90">
        <f t="shared" si="84"/>
        <v>1079</v>
      </c>
      <c r="F66" s="90">
        <f t="shared" si="84"/>
        <v>3867</v>
      </c>
      <c r="G66" s="90">
        <f t="shared" si="84"/>
        <v>402</v>
      </c>
      <c r="H66" s="90">
        <f t="shared" si="84"/>
        <v>15943</v>
      </c>
    </row>
    <row r="67" spans="1:8">
      <c r="A67" s="75" t="s">
        <v>46</v>
      </c>
      <c r="B67" s="90">
        <f t="shared" si="84"/>
        <v>551</v>
      </c>
      <c r="C67" s="90">
        <f t="shared" si="84"/>
        <v>24820</v>
      </c>
      <c r="D67" s="90">
        <f t="shared" si="84"/>
        <v>21784</v>
      </c>
      <c r="E67" s="90">
        <f t="shared" si="84"/>
        <v>2070</v>
      </c>
      <c r="F67" s="90">
        <f t="shared" si="84"/>
        <v>2252</v>
      </c>
      <c r="G67" s="90">
        <f t="shared" si="84"/>
        <v>869</v>
      </c>
      <c r="H67" s="90">
        <f t="shared" si="84"/>
        <v>16593</v>
      </c>
    </row>
    <row r="68" spans="1:8">
      <c r="A68" s="75" t="s">
        <v>12</v>
      </c>
      <c r="B68" s="91">
        <f t="shared" ref="B68:H68" si="85">B67/B66*100</f>
        <v>127.93127466914326</v>
      </c>
      <c r="C68" s="91">
        <f t="shared" si="85"/>
        <v>105.70248285848132</v>
      </c>
      <c r="D68" s="91">
        <f t="shared" si="85"/>
        <v>102.31553238457565</v>
      </c>
      <c r="E68" s="91">
        <f t="shared" si="85"/>
        <v>191.84430027803521</v>
      </c>
      <c r="F68" s="91">
        <f t="shared" si="85"/>
        <v>58.236358934574604</v>
      </c>
      <c r="G68" s="91">
        <f t="shared" si="85"/>
        <v>216.16915422885575</v>
      </c>
      <c r="H68" s="91">
        <f t="shared" si="85"/>
        <v>104.07702439942295</v>
      </c>
    </row>
    <row r="69" spans="1:8">
      <c r="A69" s="75" t="s">
        <v>27</v>
      </c>
      <c r="B69" s="90">
        <f t="shared" ref="B69:H70" si="86">K32+S32+AK32</f>
        <v>1.3</v>
      </c>
      <c r="C69" s="90">
        <f t="shared" si="86"/>
        <v>131</v>
      </c>
      <c r="D69" s="90">
        <f t="shared" si="86"/>
        <v>122</v>
      </c>
      <c r="E69" s="90">
        <f t="shared" si="86"/>
        <v>53</v>
      </c>
      <c r="F69" s="90">
        <f t="shared" si="86"/>
        <v>16</v>
      </c>
      <c r="G69" s="90">
        <f t="shared" si="86"/>
        <v>5</v>
      </c>
      <c r="H69" s="90">
        <f t="shared" si="86"/>
        <v>48</v>
      </c>
    </row>
    <row r="70" spans="1:8">
      <c r="A70" s="75" t="s">
        <v>47</v>
      </c>
      <c r="B70" s="90">
        <f t="shared" si="86"/>
        <v>0.1</v>
      </c>
      <c r="C70" s="90">
        <f t="shared" si="86"/>
        <v>10</v>
      </c>
      <c r="D70" s="90">
        <f t="shared" si="86"/>
        <v>8</v>
      </c>
      <c r="E70" s="90">
        <f t="shared" si="86"/>
        <v>0</v>
      </c>
      <c r="F70" s="90">
        <f t="shared" si="86"/>
        <v>1</v>
      </c>
      <c r="G70" s="90">
        <f t="shared" si="86"/>
        <v>1</v>
      </c>
      <c r="H70" s="90">
        <f t="shared" si="86"/>
        <v>6</v>
      </c>
    </row>
    <row r="71" spans="1:8">
      <c r="A71" s="75" t="s">
        <v>12</v>
      </c>
      <c r="B71" s="91">
        <f t="shared" ref="B71:H71" si="87">B70/B69*100</f>
        <v>7.6923076923076925</v>
      </c>
      <c r="C71" s="91">
        <f t="shared" si="87"/>
        <v>7.6335877862595423</v>
      </c>
      <c r="D71" s="91">
        <f t="shared" si="87"/>
        <v>6.557377049180328</v>
      </c>
      <c r="E71" s="91">
        <f t="shared" si="87"/>
        <v>0</v>
      </c>
      <c r="F71" s="91">
        <f t="shared" si="87"/>
        <v>6.25</v>
      </c>
      <c r="G71" s="91">
        <f t="shared" si="87"/>
        <v>20</v>
      </c>
      <c r="H71" s="91">
        <f t="shared" si="87"/>
        <v>12.5</v>
      </c>
    </row>
    <row r="72" spans="1:8">
      <c r="A72" s="75" t="s">
        <v>29</v>
      </c>
      <c r="B72" s="90">
        <f t="shared" ref="B72:H73" si="88">K35+S35+AK35</f>
        <v>109.7</v>
      </c>
      <c r="C72" s="90">
        <f t="shared" si="88"/>
        <v>8934</v>
      </c>
      <c r="D72" s="90">
        <f t="shared" si="88"/>
        <v>8280</v>
      </c>
      <c r="E72" s="90">
        <f t="shared" si="88"/>
        <v>0</v>
      </c>
      <c r="F72" s="90">
        <f t="shared" si="88"/>
        <v>2203</v>
      </c>
      <c r="G72" s="90">
        <f t="shared" si="88"/>
        <v>724</v>
      </c>
      <c r="H72" s="90">
        <f t="shared" si="88"/>
        <v>5353</v>
      </c>
    </row>
    <row r="73" spans="1:8">
      <c r="A73" s="75" t="s">
        <v>48</v>
      </c>
      <c r="B73" s="90">
        <f t="shared" si="88"/>
        <v>99.5</v>
      </c>
      <c r="C73" s="90">
        <f t="shared" si="88"/>
        <v>12510</v>
      </c>
      <c r="D73" s="90">
        <f t="shared" si="88"/>
        <v>10530</v>
      </c>
      <c r="E73" s="90">
        <f t="shared" si="88"/>
        <v>166</v>
      </c>
      <c r="F73" s="90">
        <f t="shared" si="88"/>
        <v>1502</v>
      </c>
      <c r="G73" s="90">
        <f t="shared" si="88"/>
        <v>1018</v>
      </c>
      <c r="H73" s="90">
        <f t="shared" si="88"/>
        <v>7844</v>
      </c>
    </row>
    <row r="74" spans="1:8">
      <c r="A74" s="75" t="s">
        <v>12</v>
      </c>
      <c r="B74" s="91">
        <f t="shared" ref="B74:H74" si="89">B73/B72*100</f>
        <v>90.701914311759353</v>
      </c>
      <c r="C74" s="91">
        <f t="shared" si="89"/>
        <v>140.02686366689053</v>
      </c>
      <c r="D74" s="91">
        <f t="shared" si="89"/>
        <v>127.17391304347827</v>
      </c>
      <c r="E74" s="91" t="e">
        <f t="shared" si="89"/>
        <v>#DIV/0!</v>
      </c>
      <c r="F74" s="91">
        <f t="shared" si="89"/>
        <v>68.179754879709492</v>
      </c>
      <c r="G74" s="91">
        <f t="shared" si="89"/>
        <v>140.60773480662982</v>
      </c>
      <c r="H74" s="91">
        <f t="shared" si="89"/>
        <v>146.53465346534654</v>
      </c>
    </row>
    <row r="75" spans="1:8">
      <c r="A75" s="75" t="s">
        <v>31</v>
      </c>
      <c r="B75" s="90">
        <f t="shared" ref="B75:H76" si="90">K38+S38+AK38</f>
        <v>197.6</v>
      </c>
      <c r="C75" s="90">
        <f t="shared" si="90"/>
        <v>9174</v>
      </c>
      <c r="D75" s="90">
        <f t="shared" si="90"/>
        <v>7873</v>
      </c>
      <c r="E75" s="90">
        <f t="shared" si="90"/>
        <v>1299</v>
      </c>
      <c r="F75" s="90">
        <f t="shared" si="90"/>
        <v>2449</v>
      </c>
      <c r="G75" s="90">
        <f t="shared" si="90"/>
        <v>340</v>
      </c>
      <c r="H75" s="90">
        <f t="shared" si="90"/>
        <v>3785</v>
      </c>
    </row>
    <row r="76" spans="1:8">
      <c r="A76" s="75" t="s">
        <v>52</v>
      </c>
      <c r="B76" s="90">
        <f t="shared" si="90"/>
        <v>133.4</v>
      </c>
      <c r="C76" s="90">
        <f t="shared" si="90"/>
        <v>7700</v>
      </c>
      <c r="D76" s="90">
        <f t="shared" si="90"/>
        <v>6422</v>
      </c>
      <c r="E76" s="90">
        <f t="shared" si="90"/>
        <v>899</v>
      </c>
      <c r="F76" s="90">
        <f t="shared" si="90"/>
        <v>1044</v>
      </c>
      <c r="G76" s="90">
        <f t="shared" si="90"/>
        <v>420</v>
      </c>
      <c r="H76" s="90">
        <f t="shared" si="90"/>
        <v>4059</v>
      </c>
    </row>
    <row r="77" spans="1:8">
      <c r="A77" s="75" t="s">
        <v>12</v>
      </c>
      <c r="B77" s="91">
        <f t="shared" ref="B77:H77" si="91">B76/B75*100</f>
        <v>67.510121457489873</v>
      </c>
      <c r="C77" s="91">
        <f t="shared" si="91"/>
        <v>83.932853717026376</v>
      </c>
      <c r="D77" s="91">
        <f t="shared" si="91"/>
        <v>81.569922520005079</v>
      </c>
      <c r="E77" s="91">
        <f t="shared" si="91"/>
        <v>69.207082371054668</v>
      </c>
      <c r="F77" s="91">
        <f t="shared" si="91"/>
        <v>42.629644752960395</v>
      </c>
      <c r="G77" s="91">
        <f t="shared" si="91"/>
        <v>123.52941176470588</v>
      </c>
      <c r="H77" s="91">
        <f t="shared" si="91"/>
        <v>107.23910171730515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92">B9-B46</f>
        <v>0</v>
      </c>
      <c r="C83" s="83">
        <f t="shared" si="92"/>
        <v>0</v>
      </c>
      <c r="D83" s="83">
        <f t="shared" si="92"/>
        <v>0</v>
      </c>
      <c r="E83" s="83">
        <f t="shared" si="92"/>
        <v>0</v>
      </c>
      <c r="F83" s="83">
        <f t="shared" si="92"/>
        <v>0</v>
      </c>
      <c r="G83" s="83">
        <f t="shared" si="92"/>
        <v>0</v>
      </c>
      <c r="H83" s="83">
        <f t="shared" si="92"/>
        <v>0</v>
      </c>
    </row>
    <row r="84" spans="1:8">
      <c r="A84" s="84" t="s">
        <v>50</v>
      </c>
      <c r="B84" s="83">
        <f t="shared" si="92"/>
        <v>0</v>
      </c>
      <c r="C84" s="83">
        <f t="shared" si="92"/>
        <v>0</v>
      </c>
      <c r="D84" s="83">
        <f t="shared" si="92"/>
        <v>0</v>
      </c>
      <c r="E84" s="83">
        <f t="shared" si="92"/>
        <v>0</v>
      </c>
      <c r="F84" s="83">
        <f t="shared" si="92"/>
        <v>0</v>
      </c>
      <c r="G84" s="83">
        <f t="shared" si="92"/>
        <v>0</v>
      </c>
      <c r="H84" s="83">
        <f t="shared" si="92"/>
        <v>0</v>
      </c>
    </row>
    <row r="85" spans="1:8">
      <c r="A85" s="85" t="s">
        <v>44</v>
      </c>
      <c r="B85" s="83">
        <f t="shared" si="92"/>
        <v>0</v>
      </c>
      <c r="C85" s="83">
        <f t="shared" si="92"/>
        <v>0</v>
      </c>
      <c r="D85" s="83">
        <f t="shared" si="92"/>
        <v>0</v>
      </c>
      <c r="E85" s="83">
        <f t="shared" si="92"/>
        <v>0</v>
      </c>
      <c r="F85" s="83">
        <f t="shared" si="92"/>
        <v>0</v>
      </c>
      <c r="G85" s="83">
        <f t="shared" si="92"/>
        <v>0</v>
      </c>
      <c r="H85" s="83">
        <f t="shared" si="92"/>
        <v>0</v>
      </c>
    </row>
    <row r="86" spans="1:8">
      <c r="A86" s="87" t="s">
        <v>11</v>
      </c>
      <c r="B86" s="83">
        <f t="shared" si="92"/>
        <v>0</v>
      </c>
      <c r="C86" s="83">
        <f t="shared" si="92"/>
        <v>0</v>
      </c>
      <c r="D86" s="83">
        <f t="shared" si="92"/>
        <v>0</v>
      </c>
      <c r="E86" s="83">
        <f t="shared" si="92"/>
        <v>0</v>
      </c>
      <c r="F86" s="83">
        <f t="shared" si="92"/>
        <v>0</v>
      </c>
      <c r="G86" s="83">
        <f t="shared" si="92"/>
        <v>0</v>
      </c>
      <c r="H86" s="83">
        <f t="shared" si="92"/>
        <v>0</v>
      </c>
    </row>
    <row r="87" spans="1:8">
      <c r="A87" s="75" t="s">
        <v>40</v>
      </c>
      <c r="B87" s="83">
        <f t="shared" si="92"/>
        <v>0</v>
      </c>
      <c r="C87" s="83">
        <f t="shared" si="92"/>
        <v>0</v>
      </c>
      <c r="D87" s="83">
        <f t="shared" si="92"/>
        <v>0</v>
      </c>
      <c r="E87" s="83">
        <f t="shared" si="92"/>
        <v>0</v>
      </c>
      <c r="F87" s="83">
        <f t="shared" si="92"/>
        <v>0</v>
      </c>
      <c r="G87" s="83">
        <f t="shared" si="92"/>
        <v>0</v>
      </c>
      <c r="H87" s="83">
        <f t="shared" si="92"/>
        <v>0</v>
      </c>
    </row>
    <row r="88" spans="1:8">
      <c r="A88" s="75" t="s">
        <v>50</v>
      </c>
      <c r="B88" s="83">
        <f t="shared" si="92"/>
        <v>0</v>
      </c>
      <c r="C88" s="83">
        <f t="shared" si="92"/>
        <v>0</v>
      </c>
      <c r="D88" s="83">
        <f t="shared" si="92"/>
        <v>0</v>
      </c>
      <c r="E88" s="83">
        <f t="shared" si="92"/>
        <v>0</v>
      </c>
      <c r="F88" s="83">
        <f t="shared" si="92"/>
        <v>0</v>
      </c>
      <c r="G88" s="83">
        <f t="shared" si="92"/>
        <v>0</v>
      </c>
      <c r="H88" s="83">
        <f t="shared" si="92"/>
        <v>0</v>
      </c>
    </row>
    <row r="89" spans="1:8">
      <c r="A89" s="75" t="s">
        <v>44</v>
      </c>
      <c r="B89" s="83">
        <f t="shared" si="92"/>
        <v>0</v>
      </c>
      <c r="C89" s="83">
        <f t="shared" si="92"/>
        <v>0</v>
      </c>
      <c r="D89" s="83">
        <f t="shared" si="92"/>
        <v>0</v>
      </c>
      <c r="E89" s="83">
        <f t="shared" si="92"/>
        <v>0</v>
      </c>
      <c r="F89" s="83">
        <f t="shared" si="92"/>
        <v>0</v>
      </c>
      <c r="G89" s="83">
        <f t="shared" si="92"/>
        <v>0</v>
      </c>
      <c r="H89" s="83">
        <f t="shared" si="92"/>
        <v>0</v>
      </c>
    </row>
    <row r="90" spans="1:8">
      <c r="A90" s="75" t="s">
        <v>13</v>
      </c>
      <c r="B90" s="83">
        <f t="shared" si="92"/>
        <v>0</v>
      </c>
      <c r="C90" s="83">
        <f t="shared" si="92"/>
        <v>0</v>
      </c>
      <c r="D90" s="83">
        <f t="shared" si="92"/>
        <v>0</v>
      </c>
      <c r="E90" s="83">
        <f t="shared" si="92"/>
        <v>0</v>
      </c>
      <c r="F90" s="83">
        <f t="shared" si="92"/>
        <v>0</v>
      </c>
      <c r="G90" s="83">
        <f t="shared" si="92"/>
        <v>0</v>
      </c>
      <c r="H90" s="83">
        <f t="shared" si="92"/>
        <v>0</v>
      </c>
    </row>
    <row r="91" spans="1:8">
      <c r="A91" s="92" t="s">
        <v>14</v>
      </c>
      <c r="B91" s="83">
        <f t="shared" si="92"/>
        <v>0</v>
      </c>
      <c r="C91" s="83">
        <f t="shared" si="92"/>
        <v>0</v>
      </c>
      <c r="D91" s="83">
        <f t="shared" si="92"/>
        <v>0</v>
      </c>
      <c r="E91" s="83">
        <f t="shared" si="92"/>
        <v>0</v>
      </c>
      <c r="F91" s="83">
        <f t="shared" si="92"/>
        <v>0</v>
      </c>
      <c r="G91" s="83">
        <f t="shared" si="92"/>
        <v>0</v>
      </c>
      <c r="H91" s="83">
        <f t="shared" si="92"/>
        <v>0</v>
      </c>
    </row>
    <row r="92" spans="1:8">
      <c r="A92" s="75" t="s">
        <v>15</v>
      </c>
      <c r="B92" s="83">
        <f t="shared" si="92"/>
        <v>0</v>
      </c>
      <c r="C92" s="83">
        <f t="shared" si="92"/>
        <v>0</v>
      </c>
      <c r="D92" s="83">
        <f t="shared" si="92"/>
        <v>0</v>
      </c>
      <c r="E92" s="83">
        <f t="shared" si="92"/>
        <v>0</v>
      </c>
      <c r="F92" s="83">
        <f t="shared" si="92"/>
        <v>0</v>
      </c>
      <c r="G92" s="83">
        <f t="shared" si="92"/>
        <v>0</v>
      </c>
      <c r="H92" s="83">
        <f t="shared" si="92"/>
        <v>0</v>
      </c>
    </row>
    <row r="93" spans="1:8">
      <c r="A93" s="87" t="s">
        <v>16</v>
      </c>
      <c r="B93" s="83">
        <f t="shared" si="92"/>
        <v>0</v>
      </c>
      <c r="C93" s="83">
        <f t="shared" si="92"/>
        <v>0</v>
      </c>
      <c r="D93" s="83">
        <f t="shared" si="92"/>
        <v>0</v>
      </c>
      <c r="E93" s="83">
        <f t="shared" si="92"/>
        <v>0</v>
      </c>
      <c r="F93" s="83">
        <f t="shared" si="92"/>
        <v>0</v>
      </c>
      <c r="G93" s="83">
        <f t="shared" si="92"/>
        <v>0</v>
      </c>
      <c r="H93" s="83">
        <f t="shared" si="92"/>
        <v>0</v>
      </c>
    </row>
    <row r="94" spans="1:8">
      <c r="A94" s="75" t="s">
        <v>40</v>
      </c>
      <c r="B94" s="83">
        <f t="shared" si="92"/>
        <v>0</v>
      </c>
      <c r="C94" s="83">
        <f t="shared" si="92"/>
        <v>0</v>
      </c>
      <c r="D94" s="83">
        <f t="shared" si="92"/>
        <v>0</v>
      </c>
      <c r="E94" s="83">
        <f t="shared" si="92"/>
        <v>0</v>
      </c>
      <c r="F94" s="83">
        <f t="shared" si="92"/>
        <v>0</v>
      </c>
      <c r="G94" s="83">
        <f t="shared" si="92"/>
        <v>0</v>
      </c>
      <c r="H94" s="83">
        <f t="shared" si="92"/>
        <v>0</v>
      </c>
    </row>
    <row r="95" spans="1:8">
      <c r="A95" s="92" t="s">
        <v>50</v>
      </c>
      <c r="B95" s="83">
        <f t="shared" si="92"/>
        <v>0</v>
      </c>
      <c r="C95" s="83">
        <f t="shared" si="92"/>
        <v>0</v>
      </c>
      <c r="D95" s="83">
        <f t="shared" si="92"/>
        <v>0</v>
      </c>
      <c r="E95" s="83">
        <f t="shared" si="92"/>
        <v>0</v>
      </c>
      <c r="F95" s="83">
        <f t="shared" si="92"/>
        <v>0</v>
      </c>
      <c r="G95" s="83">
        <f t="shared" si="92"/>
        <v>0</v>
      </c>
      <c r="H95" s="83">
        <f t="shared" si="92"/>
        <v>0</v>
      </c>
    </row>
    <row r="96" spans="1:8">
      <c r="A96" s="75" t="s">
        <v>44</v>
      </c>
      <c r="B96" s="83">
        <f t="shared" si="92"/>
        <v>0</v>
      </c>
      <c r="C96" s="83">
        <f t="shared" si="92"/>
        <v>0</v>
      </c>
      <c r="D96" s="83">
        <f t="shared" si="92"/>
        <v>0</v>
      </c>
      <c r="E96" s="83">
        <f t="shared" si="92"/>
        <v>0</v>
      </c>
      <c r="F96" s="83">
        <f t="shared" si="92"/>
        <v>0</v>
      </c>
      <c r="G96" s="83">
        <f t="shared" si="92"/>
        <v>0</v>
      </c>
      <c r="H96" s="83">
        <f t="shared" si="92"/>
        <v>0</v>
      </c>
    </row>
    <row r="97" spans="1:8">
      <c r="A97" s="75" t="s">
        <v>21</v>
      </c>
      <c r="B97" s="83">
        <f t="shared" si="92"/>
        <v>0</v>
      </c>
      <c r="C97" s="83">
        <f t="shared" si="92"/>
        <v>0</v>
      </c>
      <c r="D97" s="83">
        <f t="shared" si="92"/>
        <v>0</v>
      </c>
      <c r="E97" s="83">
        <f t="shared" si="92"/>
        <v>0</v>
      </c>
      <c r="F97" s="83">
        <f t="shared" si="92"/>
        <v>0</v>
      </c>
      <c r="G97" s="83">
        <f t="shared" si="92"/>
        <v>0</v>
      </c>
      <c r="H97" s="83">
        <f t="shared" si="92"/>
        <v>0</v>
      </c>
    </row>
    <row r="98" spans="1:8">
      <c r="A98" s="75" t="s">
        <v>51</v>
      </c>
      <c r="B98" s="83">
        <f t="shared" si="92"/>
        <v>0</v>
      </c>
      <c r="C98" s="83">
        <f t="shared" si="92"/>
        <v>0</v>
      </c>
      <c r="D98" s="83">
        <f t="shared" si="92"/>
        <v>0</v>
      </c>
      <c r="E98" s="83">
        <f t="shared" si="92"/>
        <v>0</v>
      </c>
      <c r="F98" s="83">
        <f t="shared" si="92"/>
        <v>0</v>
      </c>
      <c r="G98" s="83">
        <f t="shared" si="92"/>
        <v>0</v>
      </c>
      <c r="H98" s="83">
        <f t="shared" si="92"/>
        <v>0</v>
      </c>
    </row>
    <row r="99" spans="1:8">
      <c r="A99" s="75" t="s">
        <v>12</v>
      </c>
      <c r="B99" s="83" t="e">
        <f t="shared" ref="B99:H114" si="93">B25-B62</f>
        <v>#DIV/0!</v>
      </c>
      <c r="C99" s="83" t="e">
        <f t="shared" si="93"/>
        <v>#DIV/0!</v>
      </c>
      <c r="D99" s="83" t="e">
        <f t="shared" si="93"/>
        <v>#DIV/0!</v>
      </c>
      <c r="E99" s="83" t="e">
        <f t="shared" si="93"/>
        <v>#DIV/0!</v>
      </c>
      <c r="F99" s="83" t="e">
        <f t="shared" si="93"/>
        <v>#DIV/0!</v>
      </c>
      <c r="G99" s="83" t="e">
        <f t="shared" si="93"/>
        <v>#DIV/0!</v>
      </c>
      <c r="H99" s="83" t="e">
        <f t="shared" si="93"/>
        <v>#DIV/0!</v>
      </c>
    </row>
    <row r="100" spans="1:8">
      <c r="A100" s="75" t="s">
        <v>23</v>
      </c>
      <c r="B100" s="83">
        <f t="shared" si="93"/>
        <v>0</v>
      </c>
      <c r="C100" s="83">
        <f t="shared" si="93"/>
        <v>0</v>
      </c>
      <c r="D100" s="83">
        <f t="shared" si="93"/>
        <v>0</v>
      </c>
      <c r="E100" s="83">
        <f t="shared" si="93"/>
        <v>0</v>
      </c>
      <c r="F100" s="83">
        <f t="shared" si="93"/>
        <v>0</v>
      </c>
      <c r="G100" s="83">
        <f t="shared" si="93"/>
        <v>0</v>
      </c>
      <c r="H100" s="83">
        <f t="shared" si="93"/>
        <v>0</v>
      </c>
    </row>
    <row r="101" spans="1:8">
      <c r="A101" s="75" t="s">
        <v>45</v>
      </c>
      <c r="B101" s="83">
        <f t="shared" si="93"/>
        <v>0</v>
      </c>
      <c r="C101" s="83">
        <f t="shared" si="93"/>
        <v>0</v>
      </c>
      <c r="D101" s="83">
        <f t="shared" si="93"/>
        <v>0</v>
      </c>
      <c r="E101" s="83">
        <f t="shared" si="93"/>
        <v>0</v>
      </c>
      <c r="F101" s="83">
        <f t="shared" si="93"/>
        <v>0</v>
      </c>
      <c r="G101" s="83">
        <f t="shared" si="93"/>
        <v>0</v>
      </c>
      <c r="H101" s="83">
        <f t="shared" si="93"/>
        <v>0</v>
      </c>
    </row>
    <row r="102" spans="1:8">
      <c r="A102" s="75" t="s">
        <v>12</v>
      </c>
      <c r="B102" s="83">
        <f t="shared" si="93"/>
        <v>0</v>
      </c>
      <c r="C102" s="83">
        <f t="shared" si="93"/>
        <v>0</v>
      </c>
      <c r="D102" s="83">
        <f t="shared" si="93"/>
        <v>0</v>
      </c>
      <c r="E102" s="83">
        <f t="shared" si="93"/>
        <v>0</v>
      </c>
      <c r="F102" s="83">
        <f t="shared" si="93"/>
        <v>0</v>
      </c>
      <c r="G102" s="83">
        <f t="shared" si="93"/>
        <v>0</v>
      </c>
      <c r="H102" s="83">
        <f t="shared" si="93"/>
        <v>0</v>
      </c>
    </row>
    <row r="103" spans="1:8">
      <c r="A103" s="75" t="s">
        <v>25</v>
      </c>
      <c r="B103" s="83">
        <f t="shared" si="93"/>
        <v>0</v>
      </c>
      <c r="C103" s="83">
        <f t="shared" si="93"/>
        <v>0</v>
      </c>
      <c r="D103" s="83">
        <f t="shared" si="93"/>
        <v>0</v>
      </c>
      <c r="E103" s="83">
        <f t="shared" si="93"/>
        <v>0</v>
      </c>
      <c r="F103" s="83">
        <f t="shared" si="93"/>
        <v>0</v>
      </c>
      <c r="G103" s="83">
        <f t="shared" si="93"/>
        <v>0</v>
      </c>
      <c r="H103" s="83">
        <f t="shared" si="93"/>
        <v>0</v>
      </c>
    </row>
    <row r="104" spans="1:8">
      <c r="A104" s="75" t="s">
        <v>46</v>
      </c>
      <c r="B104" s="83">
        <f t="shared" si="93"/>
        <v>0</v>
      </c>
      <c r="C104" s="83">
        <f t="shared" si="93"/>
        <v>0</v>
      </c>
      <c r="D104" s="83">
        <f t="shared" si="93"/>
        <v>0</v>
      </c>
      <c r="E104" s="83">
        <f t="shared" si="93"/>
        <v>0</v>
      </c>
      <c r="F104" s="83">
        <f t="shared" si="93"/>
        <v>0</v>
      </c>
      <c r="G104" s="83">
        <f t="shared" si="93"/>
        <v>0</v>
      </c>
      <c r="H104" s="83">
        <f t="shared" si="93"/>
        <v>0</v>
      </c>
    </row>
    <row r="105" spans="1:8">
      <c r="A105" s="75" t="s">
        <v>12</v>
      </c>
      <c r="B105" s="83">
        <f t="shared" si="93"/>
        <v>0</v>
      </c>
      <c r="C105" s="83">
        <f t="shared" si="93"/>
        <v>0</v>
      </c>
      <c r="D105" s="83">
        <f t="shared" si="93"/>
        <v>0</v>
      </c>
      <c r="E105" s="83">
        <f t="shared" si="93"/>
        <v>0</v>
      </c>
      <c r="F105" s="83">
        <f t="shared" si="93"/>
        <v>0</v>
      </c>
      <c r="G105" s="83">
        <f t="shared" si="93"/>
        <v>0</v>
      </c>
      <c r="H105" s="83">
        <f t="shared" si="93"/>
        <v>0</v>
      </c>
    </row>
    <row r="106" spans="1:8">
      <c r="A106" s="75" t="s">
        <v>27</v>
      </c>
      <c r="B106" s="83">
        <f t="shared" si="93"/>
        <v>0</v>
      </c>
      <c r="C106" s="83">
        <f t="shared" si="93"/>
        <v>0</v>
      </c>
      <c r="D106" s="83">
        <f t="shared" si="93"/>
        <v>0</v>
      </c>
      <c r="E106" s="83">
        <f t="shared" si="93"/>
        <v>0</v>
      </c>
      <c r="F106" s="83">
        <f t="shared" si="93"/>
        <v>0</v>
      </c>
      <c r="G106" s="83">
        <f t="shared" si="93"/>
        <v>0</v>
      </c>
      <c r="H106" s="83">
        <f t="shared" si="93"/>
        <v>0</v>
      </c>
    </row>
    <row r="107" spans="1:8">
      <c r="A107" s="75" t="s">
        <v>47</v>
      </c>
      <c r="B107" s="83">
        <f t="shared" si="93"/>
        <v>0</v>
      </c>
      <c r="C107" s="83">
        <f t="shared" si="93"/>
        <v>0</v>
      </c>
      <c r="D107" s="83">
        <f t="shared" si="93"/>
        <v>0</v>
      </c>
      <c r="E107" s="83">
        <f t="shared" si="93"/>
        <v>0</v>
      </c>
      <c r="F107" s="83">
        <f t="shared" si="93"/>
        <v>0</v>
      </c>
      <c r="G107" s="83">
        <f t="shared" si="93"/>
        <v>0</v>
      </c>
      <c r="H107" s="83">
        <f t="shared" si="93"/>
        <v>0</v>
      </c>
    </row>
    <row r="108" spans="1:8">
      <c r="A108" s="75" t="s">
        <v>12</v>
      </c>
      <c r="B108" s="83">
        <f t="shared" si="93"/>
        <v>0</v>
      </c>
      <c r="C108" s="83">
        <f t="shared" si="93"/>
        <v>0</v>
      </c>
      <c r="D108" s="83">
        <f t="shared" si="93"/>
        <v>0</v>
      </c>
      <c r="E108" s="83">
        <f t="shared" si="93"/>
        <v>0</v>
      </c>
      <c r="F108" s="83">
        <f t="shared" si="93"/>
        <v>0</v>
      </c>
      <c r="G108" s="83">
        <f t="shared" si="93"/>
        <v>0</v>
      </c>
      <c r="H108" s="83">
        <f t="shared" si="93"/>
        <v>0</v>
      </c>
    </row>
    <row r="109" spans="1:8">
      <c r="A109" s="75" t="s">
        <v>29</v>
      </c>
      <c r="B109" s="83">
        <f t="shared" si="93"/>
        <v>0</v>
      </c>
      <c r="C109" s="83">
        <f t="shared" si="93"/>
        <v>0</v>
      </c>
      <c r="D109" s="83">
        <f t="shared" si="93"/>
        <v>0</v>
      </c>
      <c r="E109" s="83">
        <f t="shared" si="93"/>
        <v>0</v>
      </c>
      <c r="F109" s="83">
        <f t="shared" si="93"/>
        <v>0</v>
      </c>
      <c r="G109" s="83">
        <f t="shared" si="93"/>
        <v>0</v>
      </c>
      <c r="H109" s="83">
        <f t="shared" si="93"/>
        <v>0</v>
      </c>
    </row>
    <row r="110" spans="1:8">
      <c r="A110" s="75" t="s">
        <v>48</v>
      </c>
      <c r="B110" s="83">
        <f t="shared" si="93"/>
        <v>0</v>
      </c>
      <c r="C110" s="83">
        <f t="shared" si="93"/>
        <v>0</v>
      </c>
      <c r="D110" s="83">
        <f t="shared" si="93"/>
        <v>0</v>
      </c>
      <c r="E110" s="83">
        <f t="shared" si="93"/>
        <v>0</v>
      </c>
      <c r="F110" s="83">
        <f t="shared" si="93"/>
        <v>0</v>
      </c>
      <c r="G110" s="83">
        <f t="shared" si="93"/>
        <v>0</v>
      </c>
      <c r="H110" s="83">
        <f t="shared" si="93"/>
        <v>0</v>
      </c>
    </row>
    <row r="111" spans="1:8">
      <c r="A111" s="75" t="s">
        <v>12</v>
      </c>
      <c r="B111" s="83">
        <f t="shared" si="93"/>
        <v>0</v>
      </c>
      <c r="C111" s="83">
        <f t="shared" si="93"/>
        <v>0</v>
      </c>
      <c r="D111" s="83">
        <f t="shared" si="93"/>
        <v>0</v>
      </c>
      <c r="E111" s="83" t="e">
        <f t="shared" si="93"/>
        <v>#DIV/0!</v>
      </c>
      <c r="F111" s="83">
        <f t="shared" si="93"/>
        <v>0</v>
      </c>
      <c r="G111" s="83">
        <f t="shared" si="93"/>
        <v>0</v>
      </c>
      <c r="H111" s="83">
        <f t="shared" si="93"/>
        <v>0</v>
      </c>
    </row>
    <row r="112" spans="1:8">
      <c r="A112" s="75" t="s">
        <v>31</v>
      </c>
      <c r="B112" s="83">
        <f t="shared" si="93"/>
        <v>0</v>
      </c>
      <c r="C112" s="83">
        <f t="shared" si="93"/>
        <v>0</v>
      </c>
      <c r="D112" s="83">
        <f t="shared" si="93"/>
        <v>0</v>
      </c>
      <c r="E112" s="83">
        <f t="shared" si="93"/>
        <v>0</v>
      </c>
      <c r="F112" s="83">
        <f t="shared" si="93"/>
        <v>0</v>
      </c>
      <c r="G112" s="83">
        <f t="shared" si="93"/>
        <v>0</v>
      </c>
      <c r="H112" s="83">
        <f t="shared" si="93"/>
        <v>0</v>
      </c>
    </row>
    <row r="113" spans="1:8">
      <c r="A113" s="75" t="s">
        <v>52</v>
      </c>
      <c r="B113" s="83">
        <f t="shared" si="93"/>
        <v>0</v>
      </c>
      <c r="C113" s="83">
        <f t="shared" si="93"/>
        <v>0</v>
      </c>
      <c r="D113" s="83">
        <f t="shared" si="93"/>
        <v>0</v>
      </c>
      <c r="E113" s="83">
        <f t="shared" si="93"/>
        <v>0</v>
      </c>
      <c r="F113" s="83">
        <f t="shared" si="93"/>
        <v>0</v>
      </c>
      <c r="G113" s="83">
        <f t="shared" si="93"/>
        <v>0</v>
      </c>
      <c r="H113" s="83">
        <f t="shared" si="93"/>
        <v>0</v>
      </c>
    </row>
    <row r="114" spans="1:8">
      <c r="A114" s="75" t="s">
        <v>12</v>
      </c>
      <c r="B114" s="83">
        <f t="shared" si="93"/>
        <v>0</v>
      </c>
      <c r="C114" s="83">
        <f t="shared" si="93"/>
        <v>0</v>
      </c>
      <c r="D114" s="83">
        <f t="shared" si="93"/>
        <v>0</v>
      </c>
      <c r="E114" s="83">
        <f t="shared" si="93"/>
        <v>0</v>
      </c>
      <c r="F114" s="83">
        <f t="shared" si="93"/>
        <v>0</v>
      </c>
      <c r="G114" s="83">
        <f t="shared" si="93"/>
        <v>0</v>
      </c>
      <c r="H114" s="83">
        <f t="shared" si="93"/>
        <v>0</v>
      </c>
    </row>
  </sheetData>
  <mergeCells count="18">
    <mergeCell ref="AA12:AH12"/>
    <mergeCell ref="AJ12:AQ12"/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</mergeCells>
  <phoneticPr fontId="17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4"/>
  <dimension ref="A1:BC114"/>
  <sheetViews>
    <sheetView topLeftCell="K4" zoomScaleNormal="100" workbookViewId="0">
      <selection activeCell="M14" sqref="M14"/>
    </sheetView>
  </sheetViews>
  <sheetFormatPr defaultColWidth="9.109375" defaultRowHeight="13.2"/>
  <cols>
    <col min="1" max="1" width="14.6640625" customWidth="1"/>
    <col min="2" max="2" width="7.88671875" customWidth="1"/>
    <col min="3" max="3" width="9.109375" customWidth="1"/>
    <col min="4" max="4" width="9.33203125" customWidth="1"/>
    <col min="5" max="5" width="10" customWidth="1"/>
    <col min="6" max="6" width="8.33203125" customWidth="1"/>
    <col min="7" max="7" width="7.109375" customWidth="1"/>
    <col min="8" max="8" width="8.33203125" customWidth="1"/>
    <col min="9" max="9" width="4.88671875" customWidth="1"/>
    <col min="10" max="10" width="14.88671875" customWidth="1"/>
    <col min="11" max="11" width="7.88671875" customWidth="1"/>
    <col min="12" max="12" width="7.33203125" customWidth="1"/>
    <col min="13" max="13" width="7.88671875" customWidth="1"/>
    <col min="14" max="14" width="7.77734375" customWidth="1"/>
    <col min="18" max="18" width="15.5546875" customWidth="1"/>
    <col min="19" max="19" width="6.6640625" customWidth="1"/>
    <col min="20" max="20" width="8.88671875" customWidth="1"/>
    <col min="21" max="21" width="7.6640625" customWidth="1"/>
    <col min="22" max="22" width="7.33203125" customWidth="1"/>
    <col min="23" max="23" width="7.6640625" customWidth="1"/>
    <col min="24" max="24" width="7.33203125" customWidth="1"/>
    <col min="25" max="25" width="10" customWidth="1"/>
    <col min="27" max="27" width="20" customWidth="1"/>
    <col min="28" max="28" width="16.109375" customWidth="1"/>
    <col min="31" max="31" width="7" customWidth="1"/>
    <col min="32" max="34" width="7.109375" customWidth="1"/>
    <col min="36" max="36" width="11.6640625" customWidth="1"/>
  </cols>
  <sheetData>
    <row r="1" spans="1:55" s="12" customFormat="1" ht="18.75" customHeight="1">
      <c r="A1" s="464" t="s">
        <v>55</v>
      </c>
      <c r="B1" s="464"/>
      <c r="C1" s="464"/>
      <c r="D1" s="464"/>
      <c r="E1" s="464"/>
      <c r="F1" s="464"/>
      <c r="G1" s="464"/>
      <c r="H1" s="464"/>
      <c r="I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29.25" customHeight="1">
      <c r="A2" s="221"/>
      <c r="B2" s="221"/>
      <c r="C2" s="221"/>
      <c r="D2" s="221"/>
      <c r="E2" s="465" t="s">
        <v>93</v>
      </c>
      <c r="F2" s="465"/>
      <c r="G2" s="465"/>
      <c r="H2" s="465"/>
      <c r="I2"/>
    </row>
    <row r="3" spans="1:55" s="37" customFormat="1" ht="27" customHeight="1">
      <c r="A3" s="532" t="s">
        <v>94</v>
      </c>
      <c r="B3" s="532"/>
      <c r="C3" s="532"/>
      <c r="D3" s="532"/>
      <c r="E3" s="532"/>
      <c r="F3" s="532"/>
      <c r="G3" s="532"/>
      <c r="H3" s="532"/>
      <c r="I3"/>
      <c r="J3" s="40"/>
      <c r="K3"/>
      <c r="L3"/>
      <c r="M3"/>
      <c r="N3"/>
      <c r="O3"/>
      <c r="P3"/>
      <c r="Q3"/>
      <c r="S3"/>
      <c r="T3"/>
      <c r="U3"/>
      <c r="V3"/>
      <c r="W3"/>
      <c r="X3"/>
      <c r="Y3"/>
      <c r="AB3"/>
      <c r="AC3"/>
      <c r="AD3"/>
      <c r="AE3"/>
      <c r="AF3"/>
      <c r="AG3"/>
      <c r="AH3"/>
      <c r="AK3"/>
      <c r="AL3"/>
      <c r="AM3"/>
      <c r="AN3"/>
      <c r="AO3"/>
      <c r="AP3"/>
      <c r="AQ3"/>
    </row>
    <row r="4" spans="1:55" s="37" customFormat="1" ht="8.25" customHeight="1">
      <c r="A4" s="40"/>
      <c r="B4" s="428"/>
      <c r="C4" s="428"/>
      <c r="D4" s="428"/>
      <c r="E4" s="428"/>
      <c r="F4" s="428"/>
      <c r="G4" s="428"/>
      <c r="H4" s="428"/>
      <c r="I4" s="428"/>
      <c r="J4" s="429"/>
      <c r="K4" s="12"/>
      <c r="L4" s="12"/>
      <c r="M4" s="12"/>
      <c r="N4" s="12"/>
      <c r="O4" s="12"/>
      <c r="P4" s="12"/>
      <c r="Q4" s="12"/>
    </row>
    <row r="5" spans="1:55" ht="15" customHeight="1" thickBo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54" t="s">
        <v>38</v>
      </c>
      <c r="AB5" s="54"/>
      <c r="AC5" s="54"/>
      <c r="AD5" s="54"/>
      <c r="AE5" s="54"/>
      <c r="AF5" s="54"/>
      <c r="AG5" s="54"/>
      <c r="AJ5" s="2" t="s">
        <v>95</v>
      </c>
      <c r="AO5" s="2"/>
    </row>
    <row r="6" spans="1:55">
      <c r="A6" s="100" t="s">
        <v>0</v>
      </c>
      <c r="B6" s="101" t="s">
        <v>1</v>
      </c>
      <c r="C6" s="101" t="s">
        <v>2</v>
      </c>
      <c r="D6" s="101" t="s">
        <v>3</v>
      </c>
      <c r="E6" s="101" t="s">
        <v>4</v>
      </c>
      <c r="F6" s="101" t="s">
        <v>5</v>
      </c>
      <c r="G6" s="101" t="s">
        <v>6</v>
      </c>
      <c r="H6" s="102" t="s">
        <v>7</v>
      </c>
      <c r="J6" s="100" t="s">
        <v>0</v>
      </c>
      <c r="K6" s="101" t="s">
        <v>1</v>
      </c>
      <c r="L6" s="101" t="s">
        <v>2</v>
      </c>
      <c r="M6" s="101" t="s">
        <v>3</v>
      </c>
      <c r="N6" s="101" t="s">
        <v>4</v>
      </c>
      <c r="O6" s="101" t="s">
        <v>5</v>
      </c>
      <c r="P6" s="101" t="s">
        <v>6</v>
      </c>
      <c r="Q6" s="102" t="s">
        <v>7</v>
      </c>
      <c r="R6" s="100" t="s">
        <v>0</v>
      </c>
      <c r="S6" s="101" t="s">
        <v>1</v>
      </c>
      <c r="T6" s="101" t="s">
        <v>2</v>
      </c>
      <c r="U6" s="101" t="s">
        <v>3</v>
      </c>
      <c r="V6" s="101" t="s">
        <v>4</v>
      </c>
      <c r="W6" s="101" t="s">
        <v>5</v>
      </c>
      <c r="X6" s="101" t="s">
        <v>6</v>
      </c>
      <c r="Y6" s="102" t="s">
        <v>7</v>
      </c>
      <c r="Z6" s="109"/>
      <c r="AA6" s="430" t="s">
        <v>0</v>
      </c>
      <c r="AB6" s="431" t="s">
        <v>1</v>
      </c>
      <c r="AC6" s="431" t="s">
        <v>2</v>
      </c>
      <c r="AD6" s="431" t="s">
        <v>3</v>
      </c>
      <c r="AE6" s="431" t="s">
        <v>4</v>
      </c>
      <c r="AF6" s="431" t="s">
        <v>5</v>
      </c>
      <c r="AG6" s="431" t="s">
        <v>6</v>
      </c>
      <c r="AH6" s="432" t="s">
        <v>7</v>
      </c>
      <c r="AI6" s="109"/>
      <c r="AJ6" s="100" t="s">
        <v>0</v>
      </c>
      <c r="AK6" s="149" t="s">
        <v>1</v>
      </c>
      <c r="AL6" s="101" t="s">
        <v>2</v>
      </c>
      <c r="AM6" s="101" t="s">
        <v>3</v>
      </c>
      <c r="AN6" s="101" t="s">
        <v>4</v>
      </c>
      <c r="AO6" s="101" t="s">
        <v>5</v>
      </c>
      <c r="AP6" s="101" t="s">
        <v>6</v>
      </c>
      <c r="AQ6" s="10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150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104" t="s">
        <v>9</v>
      </c>
      <c r="J7" s="103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104" t="s">
        <v>9</v>
      </c>
      <c r="R7" s="103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104" t="s">
        <v>9</v>
      </c>
      <c r="Z7" s="109"/>
      <c r="AA7" s="433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5" t="s">
        <v>9</v>
      </c>
      <c r="AI7" s="109"/>
      <c r="AJ7" s="103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10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518" t="s">
        <v>17</v>
      </c>
      <c r="B8" s="468"/>
      <c r="C8" s="468"/>
      <c r="D8" s="468"/>
      <c r="E8" s="468"/>
      <c r="F8" s="468"/>
      <c r="G8" s="468"/>
      <c r="H8" s="519"/>
      <c r="I8"/>
      <c r="J8" s="518" t="s">
        <v>17</v>
      </c>
      <c r="K8" s="468"/>
      <c r="L8" s="468"/>
      <c r="M8" s="468"/>
      <c r="N8" s="468"/>
      <c r="O8" s="468"/>
      <c r="P8" s="468"/>
      <c r="Q8" s="519"/>
      <c r="R8" s="518" t="s">
        <v>17</v>
      </c>
      <c r="S8" s="468"/>
      <c r="T8" s="468"/>
      <c r="U8" s="468"/>
      <c r="V8" s="468"/>
      <c r="W8" s="468"/>
      <c r="X8" s="468"/>
      <c r="Y8" s="519"/>
      <c r="Z8" s="188"/>
      <c r="AA8" s="530" t="s">
        <v>17</v>
      </c>
      <c r="AB8" s="473"/>
      <c r="AC8" s="473"/>
      <c r="AD8" s="473"/>
      <c r="AE8" s="473"/>
      <c r="AF8" s="473"/>
      <c r="AG8" s="473"/>
      <c r="AH8" s="531"/>
      <c r="AI8" s="188"/>
      <c r="AJ8" s="518" t="s">
        <v>17</v>
      </c>
      <c r="AK8" s="468"/>
      <c r="AL8" s="468"/>
      <c r="AM8" s="468"/>
      <c r="AN8" s="468"/>
      <c r="AO8" s="468"/>
      <c r="AP8" s="468"/>
      <c r="AQ8" s="519"/>
    </row>
    <row r="9" spans="1:55" s="115" customFormat="1">
      <c r="A9" s="217" t="s">
        <v>18</v>
      </c>
      <c r="B9" s="33">
        <f>B13+B20</f>
        <v>807.3</v>
      </c>
      <c r="C9" s="33">
        <f>C13+C20</f>
        <v>51672</v>
      </c>
      <c r="D9" s="33">
        <f t="shared" ref="C9:H10" si="0">D13+D20</f>
        <v>44863</v>
      </c>
      <c r="E9" s="33">
        <f t="shared" si="0"/>
        <v>6183</v>
      </c>
      <c r="F9" s="33">
        <f t="shared" si="0"/>
        <v>12109</v>
      </c>
      <c r="G9" s="33">
        <f t="shared" si="0"/>
        <v>2769</v>
      </c>
      <c r="H9" s="377">
        <f t="shared" si="0"/>
        <v>23802</v>
      </c>
      <c r="I9"/>
      <c r="J9" s="217" t="s">
        <v>18</v>
      </c>
      <c r="K9" s="33">
        <f>K13+K20</f>
        <v>174.8</v>
      </c>
      <c r="L9" s="33">
        <f t="shared" ref="L9:Q10" si="1">L13+L20</f>
        <v>6954</v>
      </c>
      <c r="M9" s="33">
        <f t="shared" si="1"/>
        <v>5790</v>
      </c>
      <c r="N9" s="33">
        <f t="shared" si="1"/>
        <v>662</v>
      </c>
      <c r="O9" s="33">
        <f t="shared" si="1"/>
        <v>1602</v>
      </c>
      <c r="P9" s="33">
        <f t="shared" si="1"/>
        <v>347</v>
      </c>
      <c r="Q9" s="377">
        <f t="shared" si="1"/>
        <v>3179</v>
      </c>
      <c r="R9" s="217" t="s">
        <v>18</v>
      </c>
      <c r="S9" s="33">
        <f>S13+S20</f>
        <v>632.5</v>
      </c>
      <c r="T9" s="33">
        <f t="shared" ref="T9:Y10" si="2">T13+T20</f>
        <v>44718</v>
      </c>
      <c r="U9" s="33">
        <f t="shared" si="2"/>
        <v>39073</v>
      </c>
      <c r="V9" s="33">
        <f t="shared" si="2"/>
        <v>5521</v>
      </c>
      <c r="W9" s="33">
        <f t="shared" si="2"/>
        <v>10507</v>
      </c>
      <c r="X9" s="33">
        <f t="shared" si="2"/>
        <v>2422</v>
      </c>
      <c r="Y9" s="377">
        <f t="shared" si="2"/>
        <v>20623</v>
      </c>
      <c r="Z9" s="110"/>
      <c r="AA9" s="217" t="s">
        <v>18</v>
      </c>
      <c r="AB9" s="33">
        <f>AB13+AB20</f>
        <v>42.9</v>
      </c>
      <c r="AC9" s="33">
        <f t="shared" ref="AC9:AH10" si="3">AC13+AC20</f>
        <v>5654</v>
      </c>
      <c r="AD9" s="33">
        <f t="shared" si="3"/>
        <v>4785</v>
      </c>
      <c r="AE9" s="33">
        <f t="shared" si="3"/>
        <v>2370</v>
      </c>
      <c r="AF9" s="33">
        <f t="shared" si="3"/>
        <v>1039</v>
      </c>
      <c r="AG9" s="33">
        <f t="shared" si="3"/>
        <v>157</v>
      </c>
      <c r="AH9" s="377">
        <f t="shared" si="3"/>
        <v>1219</v>
      </c>
      <c r="AI9" s="110"/>
      <c r="AJ9" s="217" t="s">
        <v>18</v>
      </c>
      <c r="AK9" s="33">
        <f>AK13+AK20</f>
        <v>0</v>
      </c>
      <c r="AL9" s="33">
        <f t="shared" ref="AL9:AQ10" si="4">AL13+AL20</f>
        <v>0</v>
      </c>
      <c r="AM9" s="33">
        <f t="shared" si="4"/>
        <v>0</v>
      </c>
      <c r="AN9" s="33">
        <f t="shared" si="4"/>
        <v>0</v>
      </c>
      <c r="AO9" s="33">
        <f t="shared" si="4"/>
        <v>0</v>
      </c>
      <c r="AP9" s="33">
        <f t="shared" si="4"/>
        <v>0</v>
      </c>
      <c r="AQ9" s="377">
        <f t="shared" si="4"/>
        <v>0</v>
      </c>
    </row>
    <row r="10" spans="1:55" s="115" customFormat="1">
      <c r="A10" s="217" t="s">
        <v>19</v>
      </c>
      <c r="B10" s="179">
        <f>B14+B21</f>
        <v>860.5</v>
      </c>
      <c r="C10" s="179">
        <f t="shared" si="0"/>
        <v>47669</v>
      </c>
      <c r="D10" s="179">
        <f t="shared" si="0"/>
        <v>44912</v>
      </c>
      <c r="E10" s="179">
        <f t="shared" si="0"/>
        <v>10637</v>
      </c>
      <c r="F10" s="179">
        <f t="shared" si="0"/>
        <v>10872</v>
      </c>
      <c r="G10" s="179">
        <f t="shared" si="0"/>
        <v>1623</v>
      </c>
      <c r="H10" s="400">
        <f t="shared" si="0"/>
        <v>21780</v>
      </c>
      <c r="I10"/>
      <c r="J10" s="217" t="s">
        <v>19</v>
      </c>
      <c r="K10" s="179">
        <f>K14+K21</f>
        <v>167.4</v>
      </c>
      <c r="L10" s="179">
        <f t="shared" si="1"/>
        <v>5746</v>
      </c>
      <c r="M10" s="179">
        <f t="shared" si="1"/>
        <v>5516</v>
      </c>
      <c r="N10" s="179">
        <f t="shared" si="1"/>
        <v>1200</v>
      </c>
      <c r="O10" s="179">
        <f t="shared" si="1"/>
        <v>1415</v>
      </c>
      <c r="P10" s="179">
        <f t="shared" si="1"/>
        <v>236</v>
      </c>
      <c r="Q10" s="400">
        <f t="shared" si="1"/>
        <v>2665</v>
      </c>
      <c r="R10" s="434" t="s">
        <v>19</v>
      </c>
      <c r="S10" s="179">
        <f>S14+S21</f>
        <v>693.09999999999991</v>
      </c>
      <c r="T10" s="179">
        <f t="shared" si="2"/>
        <v>41923</v>
      </c>
      <c r="U10" s="179">
        <f t="shared" si="2"/>
        <v>39396</v>
      </c>
      <c r="V10" s="179">
        <f t="shared" si="2"/>
        <v>9437</v>
      </c>
      <c r="W10" s="179">
        <f t="shared" si="2"/>
        <v>9457</v>
      </c>
      <c r="X10" s="179">
        <f t="shared" si="2"/>
        <v>1387</v>
      </c>
      <c r="Y10" s="400">
        <f t="shared" si="2"/>
        <v>19115</v>
      </c>
      <c r="Z10" s="435"/>
      <c r="AA10" s="434" t="s">
        <v>19</v>
      </c>
      <c r="AB10" s="179">
        <f>AB14+AB21</f>
        <v>90.399999999999991</v>
      </c>
      <c r="AC10" s="179">
        <f t="shared" si="3"/>
        <v>11076</v>
      </c>
      <c r="AD10" s="179">
        <f t="shared" si="3"/>
        <v>10527</v>
      </c>
      <c r="AE10" s="179">
        <f t="shared" si="3"/>
        <v>5356</v>
      </c>
      <c r="AF10" s="179">
        <f t="shared" si="3"/>
        <v>1575</v>
      </c>
      <c r="AG10" s="179">
        <f t="shared" si="3"/>
        <v>154</v>
      </c>
      <c r="AH10" s="400">
        <f t="shared" si="3"/>
        <v>3442</v>
      </c>
      <c r="AI10" s="435"/>
      <c r="AJ10" s="434" t="s">
        <v>19</v>
      </c>
      <c r="AK10" s="179">
        <f>AK14+AK21</f>
        <v>0</v>
      </c>
      <c r="AL10" s="179">
        <f t="shared" si="4"/>
        <v>0</v>
      </c>
      <c r="AM10" s="179">
        <f t="shared" si="4"/>
        <v>0</v>
      </c>
      <c r="AN10" s="179">
        <f t="shared" si="4"/>
        <v>0</v>
      </c>
      <c r="AO10" s="179">
        <f t="shared" si="4"/>
        <v>0</v>
      </c>
      <c r="AP10" s="179">
        <f t="shared" si="4"/>
        <v>0</v>
      </c>
      <c r="AQ10" s="400">
        <f t="shared" si="4"/>
        <v>0</v>
      </c>
    </row>
    <row r="11" spans="1:55" s="115" customFormat="1">
      <c r="A11" s="217" t="s">
        <v>20</v>
      </c>
      <c r="B11" s="26">
        <f t="shared" ref="B11:H11" si="5">B10/B9*100</f>
        <v>106.58986745943268</v>
      </c>
      <c r="C11" s="26">
        <f t="shared" si="5"/>
        <v>92.253057748877538</v>
      </c>
      <c r="D11" s="26">
        <f t="shared" si="5"/>
        <v>100.10922140739584</v>
      </c>
      <c r="E11" s="26">
        <f t="shared" si="5"/>
        <v>172.03622836810609</v>
      </c>
      <c r="F11" s="26">
        <f t="shared" si="5"/>
        <v>89.784457841275085</v>
      </c>
      <c r="G11" s="26">
        <f t="shared" si="5"/>
        <v>58.613217768147344</v>
      </c>
      <c r="H11" s="77">
        <f t="shared" si="5"/>
        <v>91.504915553314845</v>
      </c>
      <c r="I11"/>
      <c r="J11" s="217" t="s">
        <v>20</v>
      </c>
      <c r="K11" s="26">
        <f>K10/K9*100</f>
        <v>95.766590389016017</v>
      </c>
      <c r="L11" s="26">
        <f>L10/L9*100</f>
        <v>82.628702904802992</v>
      </c>
      <c r="M11" s="26">
        <f>M10/M9*100</f>
        <v>95.267702936096725</v>
      </c>
      <c r="N11" s="26">
        <v>0</v>
      </c>
      <c r="O11" s="26">
        <f>O10/O9*100</f>
        <v>88.3270911360799</v>
      </c>
      <c r="P11" s="26">
        <f>P10/P9*100</f>
        <v>68.011527377521617</v>
      </c>
      <c r="Q11" s="77">
        <f>Q10/Q9*100</f>
        <v>83.831393519974839</v>
      </c>
      <c r="R11" s="217" t="s">
        <v>20</v>
      </c>
      <c r="S11" s="26">
        <f>S10/S9*100</f>
        <v>109.58102766798416</v>
      </c>
      <c r="T11" s="26">
        <f>T10/T9*100</f>
        <v>93.749720470504045</v>
      </c>
      <c r="U11" s="26">
        <f>U10/U9*100</f>
        <v>100.82665779438487</v>
      </c>
      <c r="V11" s="26">
        <v>0</v>
      </c>
      <c r="W11" s="26">
        <f>W10/W9*100</f>
        <v>90.006662225183206</v>
      </c>
      <c r="X11" s="26">
        <f>X10/X9*100</f>
        <v>57.266721717588766</v>
      </c>
      <c r="Y11" s="77">
        <f>Y10/Y9*100</f>
        <v>92.68777578431849</v>
      </c>
      <c r="Z11" s="113"/>
      <c r="AA11" s="217" t="s">
        <v>20</v>
      </c>
      <c r="AB11" s="26">
        <f>AB10/AB9*100</f>
        <v>210.72261072261068</v>
      </c>
      <c r="AC11" s="26">
        <f>AC10/AC9*100</f>
        <v>195.89671029359747</v>
      </c>
      <c r="AD11" s="26">
        <f>AD10/AD9*100</f>
        <v>220.00000000000003</v>
      </c>
      <c r="AE11" s="26">
        <v>0</v>
      </c>
      <c r="AF11" s="26">
        <f>AF10/AF9*100</f>
        <v>151.58806544754572</v>
      </c>
      <c r="AG11" s="26">
        <f>AG10/AG9*100</f>
        <v>98.089171974522287</v>
      </c>
      <c r="AH11" s="77">
        <f>AH10/AH9*100</f>
        <v>282.36259228876128</v>
      </c>
      <c r="AI11" s="113"/>
      <c r="AJ11" s="217" t="s">
        <v>20</v>
      </c>
      <c r="AK11" s="26" t="e">
        <f>AK10/AK9*100</f>
        <v>#DIV/0!</v>
      </c>
      <c r="AL11" s="26" t="e">
        <f>AL10/AL9*100</f>
        <v>#DIV/0!</v>
      </c>
      <c r="AM11" s="26" t="e">
        <f>AM10/AM9*100</f>
        <v>#DIV/0!</v>
      </c>
      <c r="AN11" s="26">
        <v>0</v>
      </c>
      <c r="AO11" s="26" t="e">
        <f>AO10/AO9*100</f>
        <v>#DIV/0!</v>
      </c>
      <c r="AP11" s="26" t="e">
        <f>AP10/AP9*100</f>
        <v>#DIV/0!</v>
      </c>
      <c r="AQ11" s="77" t="e">
        <f>AQ10/AQ9*100</f>
        <v>#DIV/0!</v>
      </c>
    </row>
    <row r="12" spans="1:55" s="203" customFormat="1" ht="12.75" customHeight="1">
      <c r="A12" s="515" t="s">
        <v>11</v>
      </c>
      <c r="B12" s="462"/>
      <c r="C12" s="462"/>
      <c r="D12" s="462"/>
      <c r="E12" s="462"/>
      <c r="F12" s="462"/>
      <c r="G12" s="462"/>
      <c r="H12" s="516"/>
      <c r="I12"/>
      <c r="J12" s="515" t="s">
        <v>11</v>
      </c>
      <c r="K12" s="462"/>
      <c r="L12" s="462"/>
      <c r="M12" s="462"/>
      <c r="N12" s="462"/>
      <c r="O12" s="462"/>
      <c r="P12" s="462"/>
      <c r="Q12" s="516"/>
      <c r="R12" s="515" t="s">
        <v>11</v>
      </c>
      <c r="S12" s="462"/>
      <c r="T12" s="462"/>
      <c r="U12" s="462"/>
      <c r="V12" s="462"/>
      <c r="W12" s="462"/>
      <c r="X12" s="462"/>
      <c r="Y12" s="516"/>
      <c r="Z12" s="302"/>
      <c r="AA12" s="528" t="s">
        <v>11</v>
      </c>
      <c r="AB12" s="476"/>
      <c r="AC12" s="476"/>
      <c r="AD12" s="476"/>
      <c r="AE12" s="476"/>
      <c r="AF12" s="476"/>
      <c r="AG12" s="476"/>
      <c r="AH12" s="529"/>
      <c r="AI12" s="302"/>
      <c r="AJ12" s="515" t="s">
        <v>11</v>
      </c>
      <c r="AK12" s="462"/>
      <c r="AL12" s="462"/>
      <c r="AM12" s="462"/>
      <c r="AN12" s="462"/>
      <c r="AO12" s="462"/>
      <c r="AP12" s="462"/>
      <c r="AQ12" s="516"/>
    </row>
    <row r="13" spans="1:55" s="203" customFormat="1">
      <c r="A13" s="241" t="s">
        <v>18</v>
      </c>
      <c r="B13" s="6">
        <f>K13+S13+AK13</f>
        <v>9.3000000000000007</v>
      </c>
      <c r="C13" s="6">
        <f>L13+T13+AL13</f>
        <v>471</v>
      </c>
      <c r="D13" s="6">
        <f>E13+F13+G13+H13</f>
        <v>309</v>
      </c>
      <c r="E13" s="6">
        <f t="shared" ref="E13:H14" si="6">N13+V13+AN13</f>
        <v>40</v>
      </c>
      <c r="F13" s="6">
        <f t="shared" si="6"/>
        <v>185</v>
      </c>
      <c r="G13" s="6">
        <f t="shared" si="6"/>
        <v>29</v>
      </c>
      <c r="H13" s="76">
        <f t="shared" si="6"/>
        <v>55</v>
      </c>
      <c r="I13"/>
      <c r="J13" s="378" t="s">
        <v>18</v>
      </c>
      <c r="K13" s="93">
        <v>6.9</v>
      </c>
      <c r="L13" s="391">
        <v>330</v>
      </c>
      <c r="M13" s="93">
        <f>N13+O13+P13+Q13</f>
        <v>216</v>
      </c>
      <c r="N13" s="391">
        <v>26</v>
      </c>
      <c r="O13" s="391">
        <v>129</v>
      </c>
      <c r="P13" s="391">
        <v>22</v>
      </c>
      <c r="Q13" s="379">
        <v>39</v>
      </c>
      <c r="R13" s="378" t="s">
        <v>18</v>
      </c>
      <c r="S13" s="93">
        <v>2.4</v>
      </c>
      <c r="T13" s="93">
        <v>141</v>
      </c>
      <c r="U13" s="93">
        <f>V13+W13+X13+Y13</f>
        <v>93</v>
      </c>
      <c r="V13" s="93">
        <v>14</v>
      </c>
      <c r="W13" s="93">
        <v>56</v>
      </c>
      <c r="X13" s="93">
        <v>7</v>
      </c>
      <c r="Y13" s="380">
        <v>16</v>
      </c>
      <c r="Z13" s="1"/>
      <c r="AA13" s="378" t="s">
        <v>18</v>
      </c>
      <c r="AB13" s="93">
        <v>2.4</v>
      </c>
      <c r="AC13" s="93">
        <v>141</v>
      </c>
      <c r="AD13" s="93">
        <f>AE13+AF13+AG13+AH13</f>
        <v>93</v>
      </c>
      <c r="AE13" s="93">
        <v>14</v>
      </c>
      <c r="AF13" s="93">
        <v>56</v>
      </c>
      <c r="AG13" s="93">
        <v>7</v>
      </c>
      <c r="AH13" s="380">
        <v>16</v>
      </c>
      <c r="AI13" s="1"/>
      <c r="AJ13" s="378" t="s">
        <v>18</v>
      </c>
      <c r="AK13" s="93"/>
      <c r="AL13" s="93"/>
      <c r="AM13" s="93">
        <f>AN13+AO13+AP13+AQ13</f>
        <v>0</v>
      </c>
      <c r="AN13" s="93"/>
      <c r="AO13" s="93"/>
      <c r="AP13" s="93"/>
      <c r="AQ13" s="380"/>
    </row>
    <row r="14" spans="1:55" s="203" customFormat="1">
      <c r="A14" s="241" t="s">
        <v>19</v>
      </c>
      <c r="B14" s="399">
        <f>K14+S14+AK14</f>
        <v>5.3</v>
      </c>
      <c r="C14" s="399">
        <f>L14+T14+AL14</f>
        <v>179</v>
      </c>
      <c r="D14" s="399">
        <f>E14+F14+G14+H14</f>
        <v>141</v>
      </c>
      <c r="E14" s="399">
        <f t="shared" si="6"/>
        <v>49</v>
      </c>
      <c r="F14" s="399">
        <f t="shared" si="6"/>
        <v>42</v>
      </c>
      <c r="G14" s="399">
        <f t="shared" si="6"/>
        <v>0</v>
      </c>
      <c r="H14" s="436">
        <f t="shared" si="6"/>
        <v>50</v>
      </c>
      <c r="I14" s="53"/>
      <c r="J14" s="437" t="s">
        <v>19</v>
      </c>
      <c r="K14" s="438"/>
      <c r="L14" s="438"/>
      <c r="M14" s="93">
        <f>N14+O14+P14+Q14</f>
        <v>0</v>
      </c>
      <c r="N14" s="438"/>
      <c r="O14" s="438"/>
      <c r="P14" s="438"/>
      <c r="Q14" s="440"/>
      <c r="R14" s="437" t="s">
        <v>19</v>
      </c>
      <c r="S14" s="441">
        <v>5.3</v>
      </c>
      <c r="T14" s="441">
        <v>179</v>
      </c>
      <c r="U14" s="439">
        <f>V14+W14+X14+Y14</f>
        <v>141</v>
      </c>
      <c r="V14" s="441">
        <v>49</v>
      </c>
      <c r="W14" s="441">
        <v>42</v>
      </c>
      <c r="X14" s="441">
        <v>0</v>
      </c>
      <c r="Y14" s="442">
        <v>50</v>
      </c>
      <c r="Z14" s="443"/>
      <c r="AA14" s="437" t="s">
        <v>19</v>
      </c>
      <c r="AB14" s="441">
        <v>5.3</v>
      </c>
      <c r="AC14" s="441">
        <v>179</v>
      </c>
      <c r="AD14" s="439">
        <f>AE14+AF14+AG14+AH14</f>
        <v>141</v>
      </c>
      <c r="AE14" s="441">
        <v>49</v>
      </c>
      <c r="AF14" s="441">
        <v>42</v>
      </c>
      <c r="AG14" s="441">
        <v>0</v>
      </c>
      <c r="AH14" s="442">
        <v>50</v>
      </c>
      <c r="AI14" s="443"/>
      <c r="AJ14" s="437" t="s">
        <v>19</v>
      </c>
      <c r="AK14" s="444"/>
      <c r="AL14" s="444"/>
      <c r="AM14" s="444">
        <f>AN14+AO14+AP14+AQ14</f>
        <v>0</v>
      </c>
      <c r="AN14" s="444"/>
      <c r="AO14" s="444"/>
      <c r="AP14" s="444"/>
      <c r="AQ14" s="445"/>
    </row>
    <row r="15" spans="1:55" s="203" customFormat="1">
      <c r="A15" s="241" t="s">
        <v>20</v>
      </c>
      <c r="B15" s="26">
        <f t="shared" ref="B15:H15" si="7">B14/B13*100</f>
        <v>56.989247311827953</v>
      </c>
      <c r="C15" s="26">
        <f t="shared" si="7"/>
        <v>38.004246284501065</v>
      </c>
      <c r="D15" s="26">
        <f t="shared" si="7"/>
        <v>45.631067961165051</v>
      </c>
      <c r="E15" s="26">
        <f t="shared" si="7"/>
        <v>122.50000000000001</v>
      </c>
      <c r="F15" s="26">
        <f t="shared" si="7"/>
        <v>22.702702702702705</v>
      </c>
      <c r="G15" s="26">
        <f t="shared" si="7"/>
        <v>0</v>
      </c>
      <c r="H15" s="77">
        <f t="shared" si="7"/>
        <v>90.909090909090907</v>
      </c>
      <c r="I15"/>
      <c r="J15" s="378" t="s">
        <v>20</v>
      </c>
      <c r="K15" s="26">
        <f t="shared" ref="K15:Q15" si="8">K14/K13*100</f>
        <v>0</v>
      </c>
      <c r="L15" s="26">
        <f t="shared" si="8"/>
        <v>0</v>
      </c>
      <c r="M15" s="26">
        <f t="shared" si="8"/>
        <v>0</v>
      </c>
      <c r="N15" s="26">
        <f t="shared" si="8"/>
        <v>0</v>
      </c>
      <c r="O15" s="26">
        <f t="shared" si="8"/>
        <v>0</v>
      </c>
      <c r="P15" s="26">
        <f t="shared" si="8"/>
        <v>0</v>
      </c>
      <c r="Q15" s="77">
        <f t="shared" si="8"/>
        <v>0</v>
      </c>
      <c r="R15" s="378" t="s">
        <v>20</v>
      </c>
      <c r="S15" s="26">
        <f t="shared" ref="S15:Y15" si="9">S14/S13*100</f>
        <v>220.83333333333334</v>
      </c>
      <c r="T15" s="26">
        <f t="shared" si="9"/>
        <v>126.95035460992908</v>
      </c>
      <c r="U15" s="26">
        <f t="shared" si="9"/>
        <v>151.61290322580646</v>
      </c>
      <c r="V15" s="26">
        <f t="shared" si="9"/>
        <v>350</v>
      </c>
      <c r="W15" s="26">
        <f t="shared" si="9"/>
        <v>75</v>
      </c>
      <c r="X15" s="26">
        <f t="shared" si="9"/>
        <v>0</v>
      </c>
      <c r="Y15" s="77">
        <f t="shared" si="9"/>
        <v>312.5</v>
      </c>
      <c r="AA15" s="378" t="s">
        <v>20</v>
      </c>
      <c r="AB15" s="26">
        <f t="shared" ref="AB15:AH15" si="10">AB14/AB13*100</f>
        <v>220.83333333333334</v>
      </c>
      <c r="AC15" s="26">
        <f t="shared" si="10"/>
        <v>126.95035460992908</v>
      </c>
      <c r="AD15" s="26">
        <f t="shared" si="10"/>
        <v>151.61290322580646</v>
      </c>
      <c r="AE15" s="26">
        <f t="shared" si="10"/>
        <v>350</v>
      </c>
      <c r="AF15" s="26">
        <f t="shared" si="10"/>
        <v>75</v>
      </c>
      <c r="AG15" s="26">
        <f t="shared" si="10"/>
        <v>0</v>
      </c>
      <c r="AH15" s="77">
        <f t="shared" si="10"/>
        <v>312.5</v>
      </c>
      <c r="AJ15" s="378" t="s">
        <v>20</v>
      </c>
      <c r="AK15" s="26" t="e">
        <f t="shared" ref="AK15:AQ15" si="11">AK14/AK13*100</f>
        <v>#DIV/0!</v>
      </c>
      <c r="AL15" s="26" t="e">
        <f t="shared" si="11"/>
        <v>#DIV/0!</v>
      </c>
      <c r="AM15" s="26" t="e">
        <f t="shared" si="11"/>
        <v>#DIV/0!</v>
      </c>
      <c r="AN15" s="26" t="e">
        <f t="shared" si="11"/>
        <v>#DIV/0!</v>
      </c>
      <c r="AO15" s="26" t="e">
        <f t="shared" si="11"/>
        <v>#DIV/0!</v>
      </c>
      <c r="AP15" s="26" t="e">
        <f t="shared" si="11"/>
        <v>#DIV/0!</v>
      </c>
      <c r="AQ15" s="77" t="e">
        <f t="shared" si="11"/>
        <v>#DIV/0!</v>
      </c>
    </row>
    <row r="16" spans="1:55" s="203" customFormat="1">
      <c r="A16" s="107" t="s">
        <v>13</v>
      </c>
      <c r="B16" s="6">
        <f t="shared" ref="B16:C18" si="12">K16+S16+AK16</f>
        <v>0.7</v>
      </c>
      <c r="C16" s="6">
        <f t="shared" si="12"/>
        <v>3</v>
      </c>
      <c r="D16" s="6">
        <f>E16+F16+G16+H16</f>
        <v>3</v>
      </c>
      <c r="E16" s="6">
        <f t="shared" ref="E16:H18" si="13">N16+V16+AN16</f>
        <v>1</v>
      </c>
      <c r="F16" s="6">
        <f t="shared" si="13"/>
        <v>1</v>
      </c>
      <c r="G16" s="6">
        <f t="shared" si="13"/>
        <v>0</v>
      </c>
      <c r="H16" s="76">
        <f t="shared" si="13"/>
        <v>1</v>
      </c>
      <c r="I16"/>
      <c r="J16" s="381" t="s">
        <v>13</v>
      </c>
      <c r="K16" s="93"/>
      <c r="L16" s="93"/>
      <c r="M16" s="93">
        <f>N16+O16+P16+Q16</f>
        <v>0</v>
      </c>
      <c r="N16" s="93"/>
      <c r="O16" s="93"/>
      <c r="P16" s="93"/>
      <c r="Q16" s="380"/>
      <c r="R16" s="381" t="s">
        <v>13</v>
      </c>
      <c r="S16" s="93">
        <v>0.7</v>
      </c>
      <c r="T16" s="93">
        <v>3</v>
      </c>
      <c r="U16" s="93">
        <f>V16+W16+X16+Y16</f>
        <v>3</v>
      </c>
      <c r="V16" s="93">
        <v>1</v>
      </c>
      <c r="W16" s="93">
        <v>1</v>
      </c>
      <c r="X16" s="93"/>
      <c r="Y16" s="380">
        <v>1</v>
      </c>
      <c r="AA16" s="381" t="s">
        <v>13</v>
      </c>
      <c r="AB16" s="93">
        <v>0.7</v>
      </c>
      <c r="AC16" s="93">
        <v>3</v>
      </c>
      <c r="AD16" s="93">
        <f>AE16+AF16+AG16+AH16</f>
        <v>3</v>
      </c>
      <c r="AE16" s="446">
        <v>1</v>
      </c>
      <c r="AF16" s="446">
        <v>1</v>
      </c>
      <c r="AG16" s="446">
        <v>0</v>
      </c>
      <c r="AH16" s="447">
        <v>1</v>
      </c>
      <c r="AJ16" s="381" t="s">
        <v>13</v>
      </c>
      <c r="AK16" s="93"/>
      <c r="AL16" s="93"/>
      <c r="AM16" s="93">
        <f>AN16+AO16+AP16+AQ16</f>
        <v>0</v>
      </c>
      <c r="AN16" s="93"/>
      <c r="AO16" s="93"/>
      <c r="AP16" s="93"/>
      <c r="AQ16" s="380"/>
    </row>
    <row r="17" spans="1:44" s="203" customFormat="1">
      <c r="A17" s="107" t="s">
        <v>14</v>
      </c>
      <c r="B17" s="6">
        <f t="shared" si="12"/>
        <v>0</v>
      </c>
      <c r="C17" s="6">
        <f t="shared" si="12"/>
        <v>0</v>
      </c>
      <c r="D17" s="6">
        <f>E17+F17+G17+H17</f>
        <v>0</v>
      </c>
      <c r="E17" s="6">
        <f t="shared" si="13"/>
        <v>0</v>
      </c>
      <c r="F17" s="6">
        <f t="shared" si="13"/>
        <v>0</v>
      </c>
      <c r="G17" s="6">
        <f t="shared" si="13"/>
        <v>0</v>
      </c>
      <c r="H17" s="76">
        <f t="shared" si="13"/>
        <v>0</v>
      </c>
      <c r="I17"/>
      <c r="J17" s="381" t="s">
        <v>14</v>
      </c>
      <c r="K17" s="382"/>
      <c r="L17" s="177"/>
      <c r="M17" s="93">
        <f>N17+O17+P17+Q17</f>
        <v>0</v>
      </c>
      <c r="N17" s="177"/>
      <c r="O17" s="177"/>
      <c r="P17" s="177"/>
      <c r="Q17" s="383"/>
      <c r="R17" s="381" t="s">
        <v>14</v>
      </c>
      <c r="S17" s="382"/>
      <c r="T17" s="177"/>
      <c r="U17" s="93">
        <f>V17+W17+X17+Y17</f>
        <v>0</v>
      </c>
      <c r="V17" s="177"/>
      <c r="W17" s="177"/>
      <c r="X17" s="177"/>
      <c r="Y17" s="383"/>
      <c r="AA17" s="381" t="s">
        <v>14</v>
      </c>
      <c r="AB17" s="382"/>
      <c r="AC17" s="177"/>
      <c r="AD17" s="93">
        <f>AE17+AF17+AG17+AH17</f>
        <v>0</v>
      </c>
      <c r="AE17" s="177"/>
      <c r="AF17" s="177"/>
      <c r="AG17" s="177"/>
      <c r="AH17" s="383"/>
      <c r="AJ17" s="381" t="s">
        <v>14</v>
      </c>
      <c r="AK17" s="382"/>
      <c r="AL17" s="177"/>
      <c r="AM17" s="93">
        <f>AN17+AO17+AP17+AQ17</f>
        <v>0</v>
      </c>
      <c r="AN17" s="177"/>
      <c r="AO17" s="177"/>
      <c r="AP17" s="177"/>
      <c r="AQ17" s="383"/>
    </row>
    <row r="18" spans="1:44">
      <c r="A18" s="107" t="s">
        <v>15</v>
      </c>
      <c r="B18" s="6">
        <f t="shared" si="12"/>
        <v>0</v>
      </c>
      <c r="C18" s="6">
        <f t="shared" si="12"/>
        <v>0</v>
      </c>
      <c r="D18" s="6">
        <f>E18+F18+G18+H18</f>
        <v>0</v>
      </c>
      <c r="E18" s="6">
        <f t="shared" si="13"/>
        <v>0</v>
      </c>
      <c r="F18" s="6">
        <f t="shared" si="13"/>
        <v>0</v>
      </c>
      <c r="G18" s="6">
        <f t="shared" si="13"/>
        <v>0</v>
      </c>
      <c r="H18" s="76">
        <f t="shared" si="13"/>
        <v>0</v>
      </c>
      <c r="J18" s="381" t="s">
        <v>15</v>
      </c>
      <c r="K18" s="93"/>
      <c r="L18" s="93"/>
      <c r="M18" s="93">
        <f>N18+O18+P18+Q18</f>
        <v>0</v>
      </c>
      <c r="N18" s="93"/>
      <c r="O18" s="93"/>
      <c r="P18" s="93"/>
      <c r="Q18" s="380"/>
      <c r="R18" s="381" t="s">
        <v>15</v>
      </c>
      <c r="S18" s="93"/>
      <c r="T18" s="93"/>
      <c r="U18" s="93">
        <f>V18+W18+X18+Y18</f>
        <v>0</v>
      </c>
      <c r="V18" s="93"/>
      <c r="W18" s="93"/>
      <c r="X18" s="93"/>
      <c r="Y18" s="380"/>
      <c r="AA18" s="381" t="s">
        <v>15</v>
      </c>
      <c r="AB18" s="93"/>
      <c r="AC18" s="93"/>
      <c r="AD18" s="93">
        <f>AE18+AF18+AG18+AH18</f>
        <v>0</v>
      </c>
      <c r="AE18" s="93"/>
      <c r="AF18" s="93"/>
      <c r="AG18" s="93"/>
      <c r="AH18" s="380"/>
      <c r="AJ18" s="381" t="s">
        <v>15</v>
      </c>
      <c r="AK18" s="93"/>
      <c r="AL18" s="93"/>
      <c r="AM18" s="93">
        <f>AN18+AO18+AP18+AQ18</f>
        <v>0</v>
      </c>
      <c r="AN18" s="93"/>
      <c r="AO18" s="93"/>
      <c r="AP18" s="93"/>
      <c r="AQ18" s="380"/>
    </row>
    <row r="19" spans="1:44" ht="12.75" customHeight="1">
      <c r="A19" s="515" t="s">
        <v>16</v>
      </c>
      <c r="B19" s="462"/>
      <c r="C19" s="462"/>
      <c r="D19" s="462"/>
      <c r="E19" s="462"/>
      <c r="F19" s="462"/>
      <c r="G19" s="462"/>
      <c r="H19" s="516"/>
      <c r="J19" s="528" t="s">
        <v>16</v>
      </c>
      <c r="K19" s="476"/>
      <c r="L19" s="476"/>
      <c r="M19" s="476"/>
      <c r="N19" s="476"/>
      <c r="O19" s="476"/>
      <c r="P19" s="476"/>
      <c r="Q19" s="529"/>
      <c r="R19" s="528" t="s">
        <v>16</v>
      </c>
      <c r="S19" s="476"/>
      <c r="T19" s="476"/>
      <c r="U19" s="476"/>
      <c r="V19" s="476"/>
      <c r="W19" s="476"/>
      <c r="X19" s="476"/>
      <c r="Y19" s="529"/>
      <c r="AA19" s="528" t="s">
        <v>16</v>
      </c>
      <c r="AB19" s="476"/>
      <c r="AC19" s="476"/>
      <c r="AD19" s="476"/>
      <c r="AE19" s="476"/>
      <c r="AF19" s="476"/>
      <c r="AG19" s="476"/>
      <c r="AH19" s="529"/>
      <c r="AJ19" s="515" t="s">
        <v>16</v>
      </c>
      <c r="AK19" s="462"/>
      <c r="AL19" s="462"/>
      <c r="AM19" s="462"/>
      <c r="AN19" s="462"/>
      <c r="AO19" s="462"/>
      <c r="AP19" s="462"/>
      <c r="AQ19" s="516"/>
    </row>
    <row r="20" spans="1:44">
      <c r="A20" s="241" t="s">
        <v>18</v>
      </c>
      <c r="B20" s="6">
        <f>B23+B26+B29+B32+B35+B38</f>
        <v>798</v>
      </c>
      <c r="C20" s="6">
        <f t="shared" ref="C20:H21" si="14">C23+C26+C29+C32+C35+C38</f>
        <v>51201</v>
      </c>
      <c r="D20" s="6">
        <f t="shared" si="14"/>
        <v>44554</v>
      </c>
      <c r="E20" s="6">
        <f t="shared" si="14"/>
        <v>6143</v>
      </c>
      <c r="F20" s="6">
        <f t="shared" si="14"/>
        <v>11924</v>
      </c>
      <c r="G20" s="6">
        <f t="shared" si="14"/>
        <v>2740</v>
      </c>
      <c r="H20" s="76">
        <f t="shared" si="14"/>
        <v>23747</v>
      </c>
      <c r="J20" s="378" t="s">
        <v>18</v>
      </c>
      <c r="K20" s="93">
        <f>K23+K26+K29+K32+K35+K38</f>
        <v>167.9</v>
      </c>
      <c r="L20" s="93">
        <f t="shared" ref="L20:Q21" si="15">L23+L26+L29+L32+L35+L38</f>
        <v>6624</v>
      </c>
      <c r="M20" s="93">
        <f t="shared" si="15"/>
        <v>5574</v>
      </c>
      <c r="N20" s="93">
        <f t="shared" si="15"/>
        <v>636</v>
      </c>
      <c r="O20" s="93">
        <f t="shared" si="15"/>
        <v>1473</v>
      </c>
      <c r="P20" s="93">
        <f t="shared" si="15"/>
        <v>325</v>
      </c>
      <c r="Q20" s="380">
        <f t="shared" si="15"/>
        <v>3140</v>
      </c>
      <c r="R20" s="378" t="s">
        <v>18</v>
      </c>
      <c r="S20" s="93">
        <f t="shared" ref="S20:Y20" si="16">S26+S29+S32+S35+S38</f>
        <v>630.1</v>
      </c>
      <c r="T20" s="93">
        <f t="shared" si="16"/>
        <v>44577</v>
      </c>
      <c r="U20" s="93">
        <f t="shared" si="16"/>
        <v>38980</v>
      </c>
      <c r="V20" s="93">
        <f t="shared" si="16"/>
        <v>5507</v>
      </c>
      <c r="W20" s="93">
        <f t="shared" si="16"/>
        <v>10451</v>
      </c>
      <c r="X20" s="93">
        <f t="shared" si="16"/>
        <v>2415</v>
      </c>
      <c r="Y20" s="380">
        <f t="shared" si="16"/>
        <v>20607</v>
      </c>
      <c r="AA20" s="378" t="s">
        <v>18</v>
      </c>
      <c r="AB20" s="93">
        <f>AB23+AB26+AB29+AB32+AB35+AB38</f>
        <v>40.5</v>
      </c>
      <c r="AC20" s="93">
        <f t="shared" ref="AC20:AH21" si="17">AC23+AC26+AC29+AC32+AC35+AC38</f>
        <v>5513</v>
      </c>
      <c r="AD20" s="93">
        <f t="shared" si="17"/>
        <v>4692</v>
      </c>
      <c r="AE20" s="93">
        <f t="shared" si="17"/>
        <v>2356</v>
      </c>
      <c r="AF20" s="93">
        <f t="shared" si="17"/>
        <v>983</v>
      </c>
      <c r="AG20" s="93">
        <f t="shared" si="17"/>
        <v>150</v>
      </c>
      <c r="AH20" s="380">
        <f t="shared" si="17"/>
        <v>1203</v>
      </c>
      <c r="AJ20" s="378" t="s">
        <v>18</v>
      </c>
      <c r="AK20" s="93">
        <f>AK23+AK26+AK29+AK32+AK35+AK38</f>
        <v>0</v>
      </c>
      <c r="AL20" s="93">
        <f t="shared" ref="AL20:AQ21" si="18">AL23+AL26+AL29+AL32+AL35+AL38</f>
        <v>0</v>
      </c>
      <c r="AM20" s="93">
        <f t="shared" si="18"/>
        <v>0</v>
      </c>
      <c r="AN20" s="93">
        <f t="shared" si="18"/>
        <v>0</v>
      </c>
      <c r="AO20" s="93">
        <f t="shared" si="18"/>
        <v>0</v>
      </c>
      <c r="AP20" s="93">
        <f t="shared" si="18"/>
        <v>0</v>
      </c>
      <c r="AQ20" s="380">
        <f t="shared" si="18"/>
        <v>0</v>
      </c>
    </row>
    <row r="21" spans="1:44" s="203" customFormat="1">
      <c r="A21" s="241" t="s">
        <v>19</v>
      </c>
      <c r="B21" s="399">
        <f>B24+B27+B30+B33+B36+B39</f>
        <v>855.2</v>
      </c>
      <c r="C21" s="399">
        <f t="shared" si="14"/>
        <v>47490</v>
      </c>
      <c r="D21" s="399">
        <f t="shared" si="14"/>
        <v>44771</v>
      </c>
      <c r="E21" s="399">
        <f t="shared" si="14"/>
        <v>10588</v>
      </c>
      <c r="F21" s="399">
        <f t="shared" si="14"/>
        <v>10830</v>
      </c>
      <c r="G21" s="399">
        <f t="shared" si="14"/>
        <v>1623</v>
      </c>
      <c r="H21" s="436">
        <f t="shared" si="14"/>
        <v>21730</v>
      </c>
      <c r="I21" s="53"/>
      <c r="J21" s="437" t="s">
        <v>19</v>
      </c>
      <c r="K21" s="444">
        <f>K24+K27+K30+K33+K36+K39</f>
        <v>167.4</v>
      </c>
      <c r="L21" s="444">
        <f t="shared" si="15"/>
        <v>5746</v>
      </c>
      <c r="M21" s="444">
        <f t="shared" si="15"/>
        <v>5516</v>
      </c>
      <c r="N21" s="444">
        <f t="shared" si="15"/>
        <v>1200</v>
      </c>
      <c r="O21" s="444">
        <f t="shared" si="15"/>
        <v>1415</v>
      </c>
      <c r="P21" s="444">
        <f t="shared" si="15"/>
        <v>236</v>
      </c>
      <c r="Q21" s="445">
        <f t="shared" si="15"/>
        <v>2665</v>
      </c>
      <c r="R21" s="437" t="s">
        <v>19</v>
      </c>
      <c r="S21" s="444">
        <f>S24+S27+S30+S33+S36+S39</f>
        <v>687.8</v>
      </c>
      <c r="T21" s="444">
        <f t="shared" ref="T21:Y21" si="19">T24+T27+T30+T33+T36+T39</f>
        <v>41744</v>
      </c>
      <c r="U21" s="444">
        <f t="shared" si="19"/>
        <v>39255</v>
      </c>
      <c r="V21" s="444">
        <f t="shared" si="19"/>
        <v>9388</v>
      </c>
      <c r="W21" s="444">
        <f t="shared" si="19"/>
        <v>9415</v>
      </c>
      <c r="X21" s="444">
        <f t="shared" si="19"/>
        <v>1387</v>
      </c>
      <c r="Y21" s="445">
        <f t="shared" si="19"/>
        <v>19065</v>
      </c>
      <c r="Z21" s="443"/>
      <c r="AA21" s="437" t="s">
        <v>19</v>
      </c>
      <c r="AB21" s="444">
        <f>AB24+AB27+AB30+AB33+AB36+AB39</f>
        <v>85.1</v>
      </c>
      <c r="AC21" s="444">
        <f t="shared" si="17"/>
        <v>10897</v>
      </c>
      <c r="AD21" s="444">
        <f t="shared" si="17"/>
        <v>10386</v>
      </c>
      <c r="AE21" s="444">
        <f t="shared" si="17"/>
        <v>5307</v>
      </c>
      <c r="AF21" s="444">
        <f t="shared" si="17"/>
        <v>1533</v>
      </c>
      <c r="AG21" s="444">
        <f t="shared" si="17"/>
        <v>154</v>
      </c>
      <c r="AH21" s="445">
        <f t="shared" si="17"/>
        <v>3392</v>
      </c>
      <c r="AI21" s="443"/>
      <c r="AJ21" s="437" t="s">
        <v>19</v>
      </c>
      <c r="AK21" s="444">
        <f>AK24+AK27+AK30+AK33+AK36+AK39</f>
        <v>0</v>
      </c>
      <c r="AL21" s="444">
        <f t="shared" si="18"/>
        <v>0</v>
      </c>
      <c r="AM21" s="444">
        <f t="shared" si="18"/>
        <v>0</v>
      </c>
      <c r="AN21" s="444">
        <f t="shared" si="18"/>
        <v>0</v>
      </c>
      <c r="AO21" s="444">
        <f t="shared" si="18"/>
        <v>0</v>
      </c>
      <c r="AP21" s="444">
        <f t="shared" si="18"/>
        <v>0</v>
      </c>
      <c r="AQ21" s="445">
        <f t="shared" si="18"/>
        <v>0</v>
      </c>
    </row>
    <row r="22" spans="1:44">
      <c r="A22" s="241" t="s">
        <v>20</v>
      </c>
      <c r="B22" s="26">
        <f t="shared" ref="B22:H22" si="20">B21/B20*100</f>
        <v>107.16791979949876</v>
      </c>
      <c r="C22" s="26">
        <f t="shared" si="20"/>
        <v>92.752094685650661</v>
      </c>
      <c r="D22" s="26">
        <f t="shared" si="20"/>
        <v>100.48704942317188</v>
      </c>
      <c r="E22" s="26">
        <f t="shared" si="20"/>
        <v>172.35878235389873</v>
      </c>
      <c r="F22" s="26">
        <f t="shared" si="20"/>
        <v>90.825226434082523</v>
      </c>
      <c r="G22" s="26">
        <f t="shared" si="20"/>
        <v>59.233576642335763</v>
      </c>
      <c r="H22" s="77">
        <f t="shared" si="20"/>
        <v>91.506295532067199</v>
      </c>
      <c r="J22" s="378" t="s">
        <v>20</v>
      </c>
      <c r="K22" s="177">
        <f>K21/K20*100</f>
        <v>99.702203692674203</v>
      </c>
      <c r="L22" s="177">
        <f>L21/L20*100</f>
        <v>86.745169082125599</v>
      </c>
      <c r="M22" s="177">
        <f>M21/M20*100</f>
        <v>98.959454610692504</v>
      </c>
      <c r="N22" s="177">
        <v>0</v>
      </c>
      <c r="O22" s="177">
        <f>O21/O20*100</f>
        <v>96.062457569585874</v>
      </c>
      <c r="P22" s="177">
        <f>P21/P20*100</f>
        <v>72.615384615384613</v>
      </c>
      <c r="Q22" s="383">
        <f>Q21/Q20*100</f>
        <v>84.872611464968145</v>
      </c>
      <c r="R22" s="378" t="s">
        <v>20</v>
      </c>
      <c r="S22" s="177">
        <f>S21/S20*100</f>
        <v>109.15727662275827</v>
      </c>
      <c r="T22" s="177">
        <f>T21/T20*100</f>
        <v>93.64470466832671</v>
      </c>
      <c r="U22" s="177">
        <f>U21/U20*100</f>
        <v>100.70548999486917</v>
      </c>
      <c r="V22" s="177">
        <v>0</v>
      </c>
      <c r="W22" s="177">
        <f>W21/W20*100</f>
        <v>90.087073007367707</v>
      </c>
      <c r="X22" s="177">
        <f>X21/X20*100</f>
        <v>57.432712215320912</v>
      </c>
      <c r="Y22" s="383">
        <f>Y21/Y20*100</f>
        <v>92.517105837822101</v>
      </c>
      <c r="AA22" s="378" t="s">
        <v>20</v>
      </c>
      <c r="AB22" s="177">
        <f>AB21/AB20*100</f>
        <v>210.12345679012344</v>
      </c>
      <c r="AC22" s="177">
        <f>AC21/AC20*100</f>
        <v>197.6600761835661</v>
      </c>
      <c r="AD22" s="177">
        <f>AD21/AD20*100</f>
        <v>221.3554987212276</v>
      </c>
      <c r="AE22" s="177">
        <v>0</v>
      </c>
      <c r="AF22" s="177">
        <f>AF21/AF20*100</f>
        <v>155.95116988809764</v>
      </c>
      <c r="AG22" s="177">
        <f>AG21/AG20*100</f>
        <v>102.66666666666666</v>
      </c>
      <c r="AH22" s="383">
        <f>AH21/AH20*100</f>
        <v>281.96176226101414</v>
      </c>
      <c r="AJ22" s="378" t="s">
        <v>20</v>
      </c>
      <c r="AK22" s="177" t="e">
        <f>AK21/AK20*100</f>
        <v>#DIV/0!</v>
      </c>
      <c r="AL22" s="177" t="e">
        <f>AL21/AL20*100</f>
        <v>#DIV/0!</v>
      </c>
      <c r="AM22" s="177" t="e">
        <f>AM21/AM20*100</f>
        <v>#DIV/0!</v>
      </c>
      <c r="AN22" s="177">
        <v>0</v>
      </c>
      <c r="AO22" s="177" t="e">
        <f>AO21/AO20*100</f>
        <v>#DIV/0!</v>
      </c>
      <c r="AP22" s="177" t="e">
        <f>AP21/AP20*100</f>
        <v>#DIV/0!</v>
      </c>
      <c r="AQ22" s="383" t="e">
        <f>AQ21/AQ20*100</f>
        <v>#DIV/0!</v>
      </c>
    </row>
    <row r="23" spans="1:44">
      <c r="A23" s="107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1">N23+V23+AN23</f>
        <v>0</v>
      </c>
      <c r="F23" s="6">
        <f t="shared" si="21"/>
        <v>0</v>
      </c>
      <c r="G23" s="6">
        <f t="shared" si="21"/>
        <v>0</v>
      </c>
      <c r="H23" s="76">
        <f t="shared" si="21"/>
        <v>0</v>
      </c>
      <c r="J23" s="381" t="s">
        <v>21</v>
      </c>
      <c r="K23" s="93"/>
      <c r="L23" s="93"/>
      <c r="M23" s="93">
        <f>N23+O23+P23+Q23</f>
        <v>0</v>
      </c>
      <c r="N23" s="93"/>
      <c r="O23" s="93"/>
      <c r="P23" s="93"/>
      <c r="Q23" s="380"/>
      <c r="R23" s="381" t="s">
        <v>21</v>
      </c>
      <c r="S23" s="93"/>
      <c r="T23" s="93"/>
      <c r="U23" s="93">
        <f>V23+W23+X23+Y23</f>
        <v>0</v>
      </c>
      <c r="V23" s="93"/>
      <c r="W23" s="93"/>
      <c r="X23" s="93"/>
      <c r="Y23" s="380"/>
      <c r="AA23" s="381" t="s">
        <v>21</v>
      </c>
      <c r="AB23" s="93"/>
      <c r="AC23" s="93"/>
      <c r="AD23" s="93">
        <f>AE23+AF23+AG23+AH23</f>
        <v>0</v>
      </c>
      <c r="AE23" s="93"/>
      <c r="AF23" s="93"/>
      <c r="AG23" s="93"/>
      <c r="AH23" s="380"/>
      <c r="AJ23" s="381" t="s">
        <v>21</v>
      </c>
      <c r="AK23" s="93"/>
      <c r="AL23" s="93"/>
      <c r="AM23" s="93">
        <f>AN23+AO23+AP23+AQ23</f>
        <v>0</v>
      </c>
      <c r="AN23" s="93"/>
      <c r="AO23" s="93"/>
      <c r="AP23" s="93"/>
      <c r="AQ23" s="380"/>
    </row>
    <row r="24" spans="1:44">
      <c r="A24" s="107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1"/>
        <v>0</v>
      </c>
      <c r="F24" s="6">
        <f t="shared" si="21"/>
        <v>0</v>
      </c>
      <c r="G24" s="6">
        <f t="shared" si="21"/>
        <v>0</v>
      </c>
      <c r="H24" s="76">
        <f t="shared" si="21"/>
        <v>0</v>
      </c>
      <c r="J24" s="381" t="s">
        <v>22</v>
      </c>
      <c r="K24" s="93"/>
      <c r="L24" s="93"/>
      <c r="M24" s="93">
        <f>N24+O24+P24+Q24</f>
        <v>0</v>
      </c>
      <c r="N24" s="93"/>
      <c r="O24" s="93"/>
      <c r="P24" s="93"/>
      <c r="Q24" s="380"/>
      <c r="R24" s="381" t="s">
        <v>22</v>
      </c>
      <c r="S24" s="93"/>
      <c r="T24" s="93"/>
      <c r="U24" s="93">
        <f>V24+W24+X24+Y24</f>
        <v>0</v>
      </c>
      <c r="V24" s="93"/>
      <c r="W24" s="93"/>
      <c r="X24" s="93"/>
      <c r="Y24" s="380"/>
      <c r="AA24" s="381" t="s">
        <v>22</v>
      </c>
      <c r="AB24" s="93"/>
      <c r="AC24" s="93"/>
      <c r="AD24" s="93">
        <f>AE24+AF24+AG24+AH24</f>
        <v>0</v>
      </c>
      <c r="AE24" s="93"/>
      <c r="AF24" s="93"/>
      <c r="AG24" s="93"/>
      <c r="AH24" s="380"/>
      <c r="AJ24" s="381" t="s">
        <v>22</v>
      </c>
      <c r="AK24" s="93"/>
      <c r="AL24" s="93"/>
      <c r="AM24" s="93">
        <f>AN24+AO24+AP24+AQ24</f>
        <v>0</v>
      </c>
      <c r="AN24" s="93"/>
      <c r="AO24" s="93"/>
      <c r="AP24" s="93"/>
      <c r="AQ24" s="380"/>
    </row>
    <row r="25" spans="1:44">
      <c r="A25" s="107" t="s">
        <v>12</v>
      </c>
      <c r="B25" s="26" t="e">
        <f t="shared" ref="B25:H25" si="22">B24/B23*100</f>
        <v>#DIV/0!</v>
      </c>
      <c r="C25" s="26" t="e">
        <f t="shared" si="22"/>
        <v>#DIV/0!</v>
      </c>
      <c r="D25" s="26" t="e">
        <f t="shared" si="22"/>
        <v>#DIV/0!</v>
      </c>
      <c r="E25" s="26" t="e">
        <f t="shared" si="22"/>
        <v>#DIV/0!</v>
      </c>
      <c r="F25" s="26" t="e">
        <f t="shared" si="22"/>
        <v>#DIV/0!</v>
      </c>
      <c r="G25" s="26" t="e">
        <f t="shared" si="22"/>
        <v>#DIV/0!</v>
      </c>
      <c r="H25" s="77" t="e">
        <f t="shared" si="22"/>
        <v>#DIV/0!</v>
      </c>
      <c r="J25" s="381" t="s">
        <v>12</v>
      </c>
      <c r="K25" s="177" t="e">
        <f>K24/K23*100</f>
        <v>#DIV/0!</v>
      </c>
      <c r="L25" s="177" t="e">
        <f>L24/L23*100</f>
        <v>#DIV/0!</v>
      </c>
      <c r="M25" s="177" t="e">
        <f>M24/M23*100</f>
        <v>#DIV/0!</v>
      </c>
      <c r="N25" s="177">
        <v>0</v>
      </c>
      <c r="O25" s="177" t="e">
        <f>O24/O23*100</f>
        <v>#DIV/0!</v>
      </c>
      <c r="P25" s="177" t="e">
        <f>P24/P23*100</f>
        <v>#DIV/0!</v>
      </c>
      <c r="Q25" s="383" t="e">
        <f>Q24/Q23*100</f>
        <v>#DIV/0!</v>
      </c>
      <c r="R25" s="381" t="s">
        <v>12</v>
      </c>
      <c r="S25" s="177" t="e">
        <f>S24/S23*100</f>
        <v>#DIV/0!</v>
      </c>
      <c r="T25" s="177" t="e">
        <f>T24/T23*100</f>
        <v>#DIV/0!</v>
      </c>
      <c r="U25" s="177" t="e">
        <f>U24/U23*100</f>
        <v>#DIV/0!</v>
      </c>
      <c r="V25" s="177">
        <v>0</v>
      </c>
      <c r="W25" s="177" t="e">
        <f>W24/W23*100</f>
        <v>#DIV/0!</v>
      </c>
      <c r="X25" s="177" t="e">
        <f>X24/X23*100</f>
        <v>#DIV/0!</v>
      </c>
      <c r="Y25" s="383" t="e">
        <f>Y24/Y23*100</f>
        <v>#DIV/0!</v>
      </c>
      <c r="AA25" s="381" t="s">
        <v>12</v>
      </c>
      <c r="AB25" s="177" t="e">
        <f>AB24/AB23*100</f>
        <v>#DIV/0!</v>
      </c>
      <c r="AC25" s="177" t="e">
        <f>AC24/AC23*100</f>
        <v>#DIV/0!</v>
      </c>
      <c r="AD25" s="177" t="e">
        <f>AD24/AD23*100</f>
        <v>#DIV/0!</v>
      </c>
      <c r="AE25" s="177">
        <v>0</v>
      </c>
      <c r="AF25" s="177" t="e">
        <f>AF24/AF23*100</f>
        <v>#DIV/0!</v>
      </c>
      <c r="AG25" s="177" t="e">
        <f>AG24/AG23*100</f>
        <v>#DIV/0!</v>
      </c>
      <c r="AH25" s="383" t="e">
        <f>AH24/AH23*100</f>
        <v>#DIV/0!</v>
      </c>
      <c r="AJ25" s="381" t="s">
        <v>12</v>
      </c>
      <c r="AK25" s="177" t="e">
        <f>AK24/AK23*100</f>
        <v>#DIV/0!</v>
      </c>
      <c r="AL25" s="177" t="e">
        <f>AL24/AL23*100</f>
        <v>#DIV/0!</v>
      </c>
      <c r="AM25" s="177" t="e">
        <f>AM24/AM23*100</f>
        <v>#DIV/0!</v>
      </c>
      <c r="AN25" s="177">
        <v>0</v>
      </c>
      <c r="AO25" s="177" t="e">
        <f>AO24/AO23*100</f>
        <v>#DIV/0!</v>
      </c>
      <c r="AP25" s="177" t="e">
        <f>AP24/AP23*100</f>
        <v>#DIV/0!</v>
      </c>
      <c r="AQ25" s="383" t="e">
        <f>AQ24/AQ23*100</f>
        <v>#DIV/0!</v>
      </c>
    </row>
    <row r="26" spans="1:44">
      <c r="A26" s="107" t="s">
        <v>23</v>
      </c>
      <c r="B26" s="6">
        <f>K26+S26+AK26</f>
        <v>58.7</v>
      </c>
      <c r="C26" s="6">
        <f>L26+T26+AL26</f>
        <v>2226</v>
      </c>
      <c r="D26" s="6">
        <f>E26+F26+G26+H26</f>
        <v>1955</v>
      </c>
      <c r="E26" s="6">
        <f t="shared" ref="E26:H27" si="23">N26+V26+AN26</f>
        <v>200</v>
      </c>
      <c r="F26" s="6">
        <f t="shared" si="23"/>
        <v>469</v>
      </c>
      <c r="G26" s="6">
        <f t="shared" si="23"/>
        <v>69</v>
      </c>
      <c r="H26" s="76">
        <f t="shared" si="23"/>
        <v>1217</v>
      </c>
      <c r="J26" s="381" t="s">
        <v>23</v>
      </c>
      <c r="K26" s="93">
        <v>34.6</v>
      </c>
      <c r="L26" s="391">
        <v>1461</v>
      </c>
      <c r="M26" s="93">
        <f>N26+O26+P26+Q26</f>
        <v>1273</v>
      </c>
      <c r="N26" s="391">
        <v>122</v>
      </c>
      <c r="O26" s="391">
        <v>301</v>
      </c>
      <c r="P26" s="391">
        <v>39</v>
      </c>
      <c r="Q26" s="379">
        <v>811</v>
      </c>
      <c r="R26" s="381" t="s">
        <v>23</v>
      </c>
      <c r="S26" s="93">
        <v>24.1</v>
      </c>
      <c r="T26" s="93">
        <v>765</v>
      </c>
      <c r="U26" s="30">
        <f>V26+W26+X26+Y26</f>
        <v>682</v>
      </c>
      <c r="V26" s="93">
        <v>78</v>
      </c>
      <c r="W26" s="93">
        <v>168</v>
      </c>
      <c r="X26" s="93">
        <v>30</v>
      </c>
      <c r="Y26" s="380">
        <v>406</v>
      </c>
      <c r="Z26" s="203"/>
      <c r="AA26" s="381" t="s">
        <v>23</v>
      </c>
      <c r="AB26" s="93">
        <v>0.2</v>
      </c>
      <c r="AC26" s="93">
        <v>3</v>
      </c>
      <c r="AD26" s="93">
        <f>AE26+AF26+AG26+AH26</f>
        <v>3</v>
      </c>
      <c r="AE26" s="93">
        <v>1</v>
      </c>
      <c r="AF26" s="93"/>
      <c r="AG26" s="93"/>
      <c r="AH26" s="380">
        <v>2</v>
      </c>
      <c r="AJ26" s="381" t="s">
        <v>23</v>
      </c>
      <c r="AK26" s="93"/>
      <c r="AL26" s="93"/>
      <c r="AM26" s="93">
        <f>AN26+AO26+AP26+AQ26</f>
        <v>0</v>
      </c>
      <c r="AN26" s="93"/>
      <c r="AO26" s="93"/>
      <c r="AP26" s="93"/>
      <c r="AQ26" s="380"/>
    </row>
    <row r="27" spans="1:44">
      <c r="A27" s="107" t="s">
        <v>24</v>
      </c>
      <c r="B27" s="399">
        <f>K27+S27+AK27</f>
        <v>84.1</v>
      </c>
      <c r="C27" s="399">
        <f>L27+T27+AL27</f>
        <v>3496</v>
      </c>
      <c r="D27" s="399">
        <f>E27+F27+G27+H27</f>
        <v>3386</v>
      </c>
      <c r="E27" s="399">
        <f t="shared" si="23"/>
        <v>1117</v>
      </c>
      <c r="F27" s="399">
        <f t="shared" si="23"/>
        <v>677</v>
      </c>
      <c r="G27" s="399">
        <f t="shared" si="23"/>
        <v>43</v>
      </c>
      <c r="H27" s="436">
        <f t="shared" si="23"/>
        <v>1549</v>
      </c>
      <c r="I27" s="53"/>
      <c r="J27" s="448" t="s">
        <v>24</v>
      </c>
      <c r="K27" s="441">
        <v>34.9</v>
      </c>
      <c r="L27" s="441">
        <v>2138</v>
      </c>
      <c r="M27" s="439">
        <f>N27+O27+P27+Q27</f>
        <v>2086</v>
      </c>
      <c r="N27" s="441">
        <v>948</v>
      </c>
      <c r="O27" s="441">
        <v>326</v>
      </c>
      <c r="P27" s="441">
        <v>21</v>
      </c>
      <c r="Q27" s="442">
        <v>791</v>
      </c>
      <c r="R27" s="448" t="s">
        <v>24</v>
      </c>
      <c r="S27" s="441">
        <v>49.2</v>
      </c>
      <c r="T27" s="441">
        <v>1358</v>
      </c>
      <c r="U27" s="439">
        <f>V27+W27+X27+Y27</f>
        <v>1300</v>
      </c>
      <c r="V27" s="441">
        <v>169</v>
      </c>
      <c r="W27" s="441">
        <v>351</v>
      </c>
      <c r="X27" s="441">
        <v>22</v>
      </c>
      <c r="Y27" s="441">
        <v>758</v>
      </c>
      <c r="Z27" s="443"/>
      <c r="AA27" s="448" t="s">
        <v>24</v>
      </c>
      <c r="AB27" s="441">
        <v>1.5</v>
      </c>
      <c r="AC27" s="441">
        <v>2</v>
      </c>
      <c r="AD27" s="439">
        <f>AE27+AF27+AG27+AH27</f>
        <v>2</v>
      </c>
      <c r="AE27" s="441">
        <v>0</v>
      </c>
      <c r="AF27" s="441">
        <v>1</v>
      </c>
      <c r="AG27" s="441">
        <v>0</v>
      </c>
      <c r="AH27" s="442">
        <v>1</v>
      </c>
      <c r="AI27" s="443"/>
      <c r="AJ27" s="448" t="s">
        <v>24</v>
      </c>
      <c r="AK27" s="438"/>
      <c r="AL27" s="438"/>
      <c r="AM27" s="439">
        <f>AN27+AO27+AP27+AQ27</f>
        <v>0</v>
      </c>
      <c r="AN27" s="438"/>
      <c r="AO27" s="438"/>
      <c r="AP27" s="438"/>
      <c r="AQ27" s="440"/>
      <c r="AR27" s="203"/>
    </row>
    <row r="28" spans="1:44">
      <c r="A28" s="107" t="s">
        <v>12</v>
      </c>
      <c r="B28" s="26">
        <f t="shared" ref="B28:H28" si="24">B27/B26*100</f>
        <v>143.2708688245315</v>
      </c>
      <c r="C28" s="26">
        <f t="shared" si="24"/>
        <v>157.05300988319857</v>
      </c>
      <c r="D28" s="26">
        <f t="shared" si="24"/>
        <v>173.19693094629156</v>
      </c>
      <c r="E28" s="26">
        <f t="shared" si="24"/>
        <v>558.5</v>
      </c>
      <c r="F28" s="26">
        <f t="shared" si="24"/>
        <v>144.34968017057571</v>
      </c>
      <c r="G28" s="26">
        <f t="shared" si="24"/>
        <v>62.318840579710141</v>
      </c>
      <c r="H28" s="77">
        <f t="shared" si="24"/>
        <v>127.28019720624486</v>
      </c>
      <c r="J28" s="381" t="s">
        <v>12</v>
      </c>
      <c r="K28" s="177">
        <f t="shared" ref="K28:Q28" si="25">K27/K26*100</f>
        <v>100.86705202312139</v>
      </c>
      <c r="L28" s="177">
        <f t="shared" si="25"/>
        <v>146.3381245722108</v>
      </c>
      <c r="M28" s="177">
        <f t="shared" si="25"/>
        <v>163.8648860958366</v>
      </c>
      <c r="N28" s="177">
        <f t="shared" si="25"/>
        <v>777.04918032786884</v>
      </c>
      <c r="O28" s="177">
        <f t="shared" si="25"/>
        <v>108.30564784053156</v>
      </c>
      <c r="P28" s="177">
        <f t="shared" si="25"/>
        <v>53.846153846153847</v>
      </c>
      <c r="Q28" s="383">
        <f t="shared" si="25"/>
        <v>97.533908754623923</v>
      </c>
      <c r="R28" s="381" t="s">
        <v>12</v>
      </c>
      <c r="S28" s="177">
        <f t="shared" ref="S28:Y28" si="26">S27/S26*100</f>
        <v>204.14937759336098</v>
      </c>
      <c r="T28" s="177">
        <f t="shared" si="26"/>
        <v>177.51633986928104</v>
      </c>
      <c r="U28" s="177">
        <f t="shared" si="26"/>
        <v>190.61583577712611</v>
      </c>
      <c r="V28" s="177">
        <f t="shared" si="26"/>
        <v>216.66666666666666</v>
      </c>
      <c r="W28" s="177">
        <f t="shared" si="26"/>
        <v>208.92857142857144</v>
      </c>
      <c r="X28" s="177">
        <f t="shared" si="26"/>
        <v>73.333333333333329</v>
      </c>
      <c r="Y28" s="383">
        <f t="shared" si="26"/>
        <v>186.69950738916256</v>
      </c>
      <c r="AA28" s="381" t="s">
        <v>12</v>
      </c>
      <c r="AB28" s="177">
        <f t="shared" ref="AB28:AH28" si="27">AB27/AB26*100</f>
        <v>750</v>
      </c>
      <c r="AC28" s="177">
        <f t="shared" si="27"/>
        <v>66.666666666666657</v>
      </c>
      <c r="AD28" s="177">
        <f t="shared" si="27"/>
        <v>66.666666666666657</v>
      </c>
      <c r="AE28" s="177">
        <f t="shared" si="27"/>
        <v>0</v>
      </c>
      <c r="AF28" s="177" t="e">
        <f t="shared" si="27"/>
        <v>#DIV/0!</v>
      </c>
      <c r="AG28" s="177" t="e">
        <f t="shared" si="27"/>
        <v>#DIV/0!</v>
      </c>
      <c r="AH28" s="383">
        <f t="shared" si="27"/>
        <v>50</v>
      </c>
      <c r="AJ28" s="381" t="s">
        <v>12</v>
      </c>
      <c r="AK28" s="177" t="e">
        <f t="shared" ref="AK28:AQ28" si="28">AK27/AK26*100</f>
        <v>#DIV/0!</v>
      </c>
      <c r="AL28" s="177" t="e">
        <f t="shared" si="28"/>
        <v>#DIV/0!</v>
      </c>
      <c r="AM28" s="177" t="e">
        <f t="shared" si="28"/>
        <v>#DIV/0!</v>
      </c>
      <c r="AN28" s="177" t="e">
        <f t="shared" si="28"/>
        <v>#DIV/0!</v>
      </c>
      <c r="AO28" s="177" t="e">
        <f t="shared" si="28"/>
        <v>#DIV/0!</v>
      </c>
      <c r="AP28" s="177" t="e">
        <f t="shared" si="28"/>
        <v>#DIV/0!</v>
      </c>
      <c r="AQ28" s="383" t="e">
        <f t="shared" si="28"/>
        <v>#DIV/0!</v>
      </c>
    </row>
    <row r="29" spans="1:44">
      <c r="A29" s="107" t="s">
        <v>25</v>
      </c>
      <c r="B29" s="6">
        <f>K29+S29+AK29</f>
        <v>332.5</v>
      </c>
      <c r="C29" s="6">
        <f>L29+T29+AL29</f>
        <v>11126</v>
      </c>
      <c r="D29" s="6">
        <f>E29+F29+G29+H29</f>
        <v>9889</v>
      </c>
      <c r="E29" s="6">
        <f t="shared" ref="E29:H30" si="29">N29+V29+AN29</f>
        <v>850</v>
      </c>
      <c r="F29" s="6">
        <f t="shared" si="29"/>
        <v>2600</v>
      </c>
      <c r="G29" s="6">
        <f t="shared" si="29"/>
        <v>479</v>
      </c>
      <c r="H29" s="76">
        <f t="shared" si="29"/>
        <v>5960</v>
      </c>
      <c r="J29" s="381" t="s">
        <v>25</v>
      </c>
      <c r="K29" s="93">
        <v>42.7</v>
      </c>
      <c r="L29" s="93">
        <v>984</v>
      </c>
      <c r="M29" s="93">
        <f>N29+O29+P29+Q29</f>
        <v>861</v>
      </c>
      <c r="N29" s="391">
        <v>36</v>
      </c>
      <c r="O29" s="391">
        <v>270</v>
      </c>
      <c r="P29" s="391">
        <v>74</v>
      </c>
      <c r="Q29" s="379">
        <v>481</v>
      </c>
      <c r="R29" s="381" t="s">
        <v>25</v>
      </c>
      <c r="S29" s="93">
        <v>289.8</v>
      </c>
      <c r="T29" s="93">
        <v>10142</v>
      </c>
      <c r="U29" s="30">
        <f>V29+W29+X29+Y29</f>
        <v>9028</v>
      </c>
      <c r="V29" s="93">
        <v>814</v>
      </c>
      <c r="W29" s="93">
        <v>2330</v>
      </c>
      <c r="X29" s="93">
        <v>405</v>
      </c>
      <c r="Y29" s="380">
        <v>5479</v>
      </c>
      <c r="AA29" s="381" t="s">
        <v>25</v>
      </c>
      <c r="AB29" s="93">
        <v>3.3</v>
      </c>
      <c r="AC29" s="93">
        <v>140</v>
      </c>
      <c r="AD29" s="93">
        <f>AE29+AF29+AG29+AH29</f>
        <v>125</v>
      </c>
      <c r="AE29" s="93">
        <v>14</v>
      </c>
      <c r="AF29" s="93">
        <v>28</v>
      </c>
      <c r="AG29" s="93">
        <v>5</v>
      </c>
      <c r="AH29" s="380">
        <v>78</v>
      </c>
      <c r="AJ29" s="381" t="s">
        <v>25</v>
      </c>
      <c r="AK29" s="93"/>
      <c r="AL29" s="93"/>
      <c r="AM29" s="93">
        <f>AN29+AO29+AP29+AQ29</f>
        <v>0</v>
      </c>
      <c r="AN29" s="93"/>
      <c r="AO29" s="93"/>
      <c r="AP29" s="93"/>
      <c r="AQ29" s="380"/>
    </row>
    <row r="30" spans="1:44">
      <c r="A30" s="107" t="s">
        <v>26</v>
      </c>
      <c r="B30" s="399">
        <f>K30+S30+AK30</f>
        <v>348.5</v>
      </c>
      <c r="C30" s="399">
        <f>L30+T30+AL30</f>
        <v>10242</v>
      </c>
      <c r="D30" s="399">
        <f>E30+F30+G30+H30</f>
        <v>9563</v>
      </c>
      <c r="E30" s="399">
        <f t="shared" si="29"/>
        <v>2039</v>
      </c>
      <c r="F30" s="399">
        <f t="shared" si="29"/>
        <v>2274</v>
      </c>
      <c r="G30" s="399">
        <f t="shared" si="29"/>
        <v>266</v>
      </c>
      <c r="H30" s="436">
        <f t="shared" si="29"/>
        <v>4984</v>
      </c>
      <c r="I30" s="53"/>
      <c r="J30" s="448" t="s">
        <v>26</v>
      </c>
      <c r="K30" s="441">
        <v>28.3</v>
      </c>
      <c r="L30" s="441">
        <v>579</v>
      </c>
      <c r="M30" s="439">
        <f>N30+O30+P30+Q30</f>
        <v>566</v>
      </c>
      <c r="N30" s="441">
        <v>22</v>
      </c>
      <c r="O30" s="441">
        <v>106</v>
      </c>
      <c r="P30" s="441">
        <v>84</v>
      </c>
      <c r="Q30" s="442">
        <v>354</v>
      </c>
      <c r="R30" s="448" t="s">
        <v>26</v>
      </c>
      <c r="S30" s="441">
        <v>320.2</v>
      </c>
      <c r="T30" s="441">
        <v>9663</v>
      </c>
      <c r="U30" s="439">
        <f>V30+W30+X30+Y30</f>
        <v>8997</v>
      </c>
      <c r="V30" s="441">
        <v>2017</v>
      </c>
      <c r="W30" s="441">
        <v>2168</v>
      </c>
      <c r="X30" s="441">
        <v>182</v>
      </c>
      <c r="Y30" s="441">
        <v>4630</v>
      </c>
      <c r="Z30" s="443"/>
      <c r="AA30" s="448" t="s">
        <v>26</v>
      </c>
      <c r="AB30" s="441">
        <v>6.4</v>
      </c>
      <c r="AC30" s="441">
        <v>324</v>
      </c>
      <c r="AD30" s="439">
        <f>AE30+AF30+AG30+AH30</f>
        <v>271</v>
      </c>
      <c r="AE30" s="441">
        <v>62</v>
      </c>
      <c r="AF30" s="441">
        <v>77</v>
      </c>
      <c r="AG30" s="441">
        <v>1</v>
      </c>
      <c r="AH30" s="441">
        <v>131</v>
      </c>
      <c r="AI30" s="443"/>
      <c r="AJ30" s="448" t="s">
        <v>26</v>
      </c>
      <c r="AK30" s="438"/>
      <c r="AL30" s="438"/>
      <c r="AM30" s="439">
        <f>AN30+AO30+AP30+AQ30</f>
        <v>0</v>
      </c>
      <c r="AN30" s="438"/>
      <c r="AO30" s="438"/>
      <c r="AP30" s="438"/>
      <c r="AQ30" s="440"/>
      <c r="AR30" s="203"/>
    </row>
    <row r="31" spans="1:44">
      <c r="A31" s="107" t="s">
        <v>12</v>
      </c>
      <c r="B31" s="26">
        <f t="shared" ref="B31:H31" si="30">B30/B29*100</f>
        <v>104.81203007518798</v>
      </c>
      <c r="C31" s="26">
        <f t="shared" si="30"/>
        <v>92.054646773323739</v>
      </c>
      <c r="D31" s="26">
        <f t="shared" si="30"/>
        <v>96.703407826878347</v>
      </c>
      <c r="E31" s="26">
        <f t="shared" si="30"/>
        <v>239.88235294117649</v>
      </c>
      <c r="F31" s="26">
        <f t="shared" si="30"/>
        <v>87.461538461538453</v>
      </c>
      <c r="G31" s="26">
        <f t="shared" si="30"/>
        <v>55.532359081419628</v>
      </c>
      <c r="H31" s="77">
        <f t="shared" si="30"/>
        <v>83.624161073825505</v>
      </c>
      <c r="J31" s="381" t="s">
        <v>12</v>
      </c>
      <c r="K31" s="177">
        <f t="shared" ref="K31:Q31" si="31">K30/K29*100</f>
        <v>66.276346604215448</v>
      </c>
      <c r="L31" s="177">
        <f t="shared" si="31"/>
        <v>58.841463414634141</v>
      </c>
      <c r="M31" s="177">
        <f t="shared" si="31"/>
        <v>65.737514518002328</v>
      </c>
      <c r="N31" s="177">
        <f t="shared" si="31"/>
        <v>61.111111111111114</v>
      </c>
      <c r="O31" s="177">
        <f t="shared" si="31"/>
        <v>39.25925925925926</v>
      </c>
      <c r="P31" s="177">
        <f t="shared" si="31"/>
        <v>113.51351351351352</v>
      </c>
      <c r="Q31" s="383">
        <f t="shared" si="31"/>
        <v>73.596673596673597</v>
      </c>
      <c r="R31" s="381" t="s">
        <v>12</v>
      </c>
      <c r="S31" s="177">
        <f t="shared" ref="S31:Y31" si="32">S30/S29*100</f>
        <v>110.48999309868874</v>
      </c>
      <c r="T31" s="177">
        <f t="shared" si="32"/>
        <v>95.2770656675212</v>
      </c>
      <c r="U31" s="177">
        <f t="shared" si="32"/>
        <v>99.656623836951709</v>
      </c>
      <c r="V31" s="177">
        <f t="shared" si="32"/>
        <v>247.78869778869779</v>
      </c>
      <c r="W31" s="177">
        <f t="shared" si="32"/>
        <v>93.047210300429185</v>
      </c>
      <c r="X31" s="177">
        <f t="shared" si="32"/>
        <v>44.938271604938272</v>
      </c>
      <c r="Y31" s="383">
        <f t="shared" si="32"/>
        <v>84.504471618908568</v>
      </c>
      <c r="AA31" s="381" t="s">
        <v>12</v>
      </c>
      <c r="AB31" s="177">
        <f t="shared" ref="AB31:AH31" si="33">AB30/AB29*100</f>
        <v>193.93939393939397</v>
      </c>
      <c r="AC31" s="177">
        <f t="shared" si="33"/>
        <v>231.42857142857144</v>
      </c>
      <c r="AD31" s="177">
        <f t="shared" si="33"/>
        <v>216.8</v>
      </c>
      <c r="AE31" s="177">
        <f t="shared" si="33"/>
        <v>442.85714285714289</v>
      </c>
      <c r="AF31" s="177">
        <f t="shared" si="33"/>
        <v>275</v>
      </c>
      <c r="AG31" s="177">
        <f t="shared" si="33"/>
        <v>20</v>
      </c>
      <c r="AH31" s="383">
        <f t="shared" si="33"/>
        <v>167.94871794871796</v>
      </c>
      <c r="AJ31" s="381" t="s">
        <v>12</v>
      </c>
      <c r="AK31" s="177" t="e">
        <f t="shared" ref="AK31:AQ31" si="34">AK30/AK29*100</f>
        <v>#DIV/0!</v>
      </c>
      <c r="AL31" s="177" t="e">
        <f t="shared" si="34"/>
        <v>#DIV/0!</v>
      </c>
      <c r="AM31" s="177" t="e">
        <f t="shared" si="34"/>
        <v>#DIV/0!</v>
      </c>
      <c r="AN31" s="177" t="e">
        <f t="shared" si="34"/>
        <v>#DIV/0!</v>
      </c>
      <c r="AO31" s="177" t="e">
        <f t="shared" si="34"/>
        <v>#DIV/0!</v>
      </c>
      <c r="AP31" s="177" t="e">
        <f t="shared" si="34"/>
        <v>#DIV/0!</v>
      </c>
      <c r="AQ31" s="383" t="e">
        <f t="shared" si="34"/>
        <v>#DIV/0!</v>
      </c>
    </row>
    <row r="32" spans="1:44">
      <c r="A32" s="107" t="s">
        <v>27</v>
      </c>
      <c r="B32" s="6">
        <f>K32+S32+AK32</f>
        <v>24.900000000000002</v>
      </c>
      <c r="C32" s="6">
        <f>L32+T32+AL32</f>
        <v>4629</v>
      </c>
      <c r="D32" s="6">
        <f>E32+F32+G32+H32</f>
        <v>3960</v>
      </c>
      <c r="E32" s="6">
        <f t="shared" ref="E32:H33" si="35">N32+V32+AN32</f>
        <v>2224</v>
      </c>
      <c r="F32" s="6">
        <f t="shared" si="35"/>
        <v>825</v>
      </c>
      <c r="G32" s="6">
        <f t="shared" si="35"/>
        <v>123</v>
      </c>
      <c r="H32" s="76">
        <f t="shared" si="35"/>
        <v>788</v>
      </c>
      <c r="J32" s="381" t="s">
        <v>27</v>
      </c>
      <c r="K32" s="93">
        <v>0.1</v>
      </c>
      <c r="L32" s="93">
        <v>13</v>
      </c>
      <c r="M32" s="93">
        <f>N32+O32+P32+Q32</f>
        <v>10</v>
      </c>
      <c r="N32" s="93">
        <v>2</v>
      </c>
      <c r="O32" s="93">
        <v>5</v>
      </c>
      <c r="P32" s="93">
        <v>1</v>
      </c>
      <c r="Q32" s="380">
        <v>2</v>
      </c>
      <c r="R32" s="381" t="s">
        <v>27</v>
      </c>
      <c r="S32" s="93">
        <v>24.8</v>
      </c>
      <c r="T32" s="93">
        <v>4616</v>
      </c>
      <c r="U32" s="30">
        <f>V32+W32+X32+Y32</f>
        <v>3950</v>
      </c>
      <c r="V32" s="93">
        <v>2222</v>
      </c>
      <c r="W32" s="93">
        <v>820</v>
      </c>
      <c r="X32" s="93">
        <v>122</v>
      </c>
      <c r="Y32" s="380">
        <v>786</v>
      </c>
      <c r="AA32" s="381" t="s">
        <v>27</v>
      </c>
      <c r="AB32" s="93">
        <v>24.7</v>
      </c>
      <c r="AC32" s="93">
        <v>4611</v>
      </c>
      <c r="AD32" s="93">
        <f>AE32+AF32+AG32+AH32</f>
        <v>3946</v>
      </c>
      <c r="AE32" s="93">
        <v>2219</v>
      </c>
      <c r="AF32" s="93">
        <v>820</v>
      </c>
      <c r="AG32" s="93">
        <v>122</v>
      </c>
      <c r="AH32" s="380">
        <v>785</v>
      </c>
      <c r="AJ32" s="381" t="s">
        <v>27</v>
      </c>
      <c r="AK32" s="93"/>
      <c r="AL32" s="93"/>
      <c r="AM32" s="93">
        <f>AN32+AO32+AP32+AQ32</f>
        <v>0</v>
      </c>
      <c r="AN32" s="93"/>
      <c r="AO32" s="93"/>
      <c r="AP32" s="93"/>
      <c r="AQ32" s="380"/>
    </row>
    <row r="33" spans="1:46">
      <c r="A33" s="107" t="s">
        <v>28</v>
      </c>
      <c r="B33" s="399">
        <f>K33+S33+AK33</f>
        <v>45.29</v>
      </c>
      <c r="C33" s="399">
        <f>L33+T33+AL33</f>
        <v>8729</v>
      </c>
      <c r="D33" s="399">
        <f>E33+F33+G33+H33</f>
        <v>8414</v>
      </c>
      <c r="E33" s="399">
        <f t="shared" si="35"/>
        <v>4737</v>
      </c>
      <c r="F33" s="399">
        <f t="shared" si="35"/>
        <v>1202</v>
      </c>
      <c r="G33" s="399">
        <f t="shared" si="35"/>
        <v>102</v>
      </c>
      <c r="H33" s="436">
        <f t="shared" si="35"/>
        <v>2373</v>
      </c>
      <c r="I33" s="53"/>
      <c r="J33" s="448" t="s">
        <v>28</v>
      </c>
      <c r="K33" s="438"/>
      <c r="L33" s="438"/>
      <c r="M33" s="439">
        <f>N33+O33+P33+Q33</f>
        <v>0</v>
      </c>
      <c r="N33" s="438"/>
      <c r="O33" s="438"/>
      <c r="P33" s="438"/>
      <c r="Q33" s="440"/>
      <c r="R33" s="448" t="s">
        <v>28</v>
      </c>
      <c r="S33" s="441">
        <v>45.29</v>
      </c>
      <c r="T33" s="441">
        <v>8729</v>
      </c>
      <c r="U33" s="439">
        <f>V33+W33+X33+Y33</f>
        <v>8414</v>
      </c>
      <c r="V33" s="441">
        <v>4737</v>
      </c>
      <c r="W33" s="441">
        <v>1202</v>
      </c>
      <c r="X33" s="441">
        <v>102</v>
      </c>
      <c r="Y33" s="442">
        <v>2373</v>
      </c>
      <c r="Z33" s="443"/>
      <c r="AA33" s="448" t="s">
        <v>28</v>
      </c>
      <c r="AB33" s="441">
        <v>44.19</v>
      </c>
      <c r="AC33" s="441">
        <v>8609</v>
      </c>
      <c r="AD33" s="438">
        <f>AE33+AF33+AG33+AH33</f>
        <v>8368</v>
      </c>
      <c r="AE33" s="441">
        <v>4723</v>
      </c>
      <c r="AF33" s="441">
        <v>1190</v>
      </c>
      <c r="AG33" s="441">
        <v>99</v>
      </c>
      <c r="AH33" s="442">
        <v>2356</v>
      </c>
      <c r="AI33" s="443"/>
      <c r="AJ33" s="448" t="s">
        <v>28</v>
      </c>
      <c r="AK33" s="438"/>
      <c r="AL33" s="438"/>
      <c r="AM33" s="438">
        <f>AN33+AO33+AP33+AQ33</f>
        <v>0</v>
      </c>
      <c r="AN33" s="438"/>
      <c r="AO33" s="438"/>
      <c r="AP33" s="438"/>
      <c r="AQ33" s="440"/>
      <c r="AR33" s="203"/>
    </row>
    <row r="34" spans="1:46">
      <c r="A34" s="107" t="s">
        <v>12</v>
      </c>
      <c r="B34" s="26">
        <f t="shared" ref="B34:H34" si="36">B33/B32*100</f>
        <v>181.88755020080319</v>
      </c>
      <c r="C34" s="26">
        <f t="shared" si="36"/>
        <v>188.57204579822854</v>
      </c>
      <c r="D34" s="26">
        <f t="shared" si="36"/>
        <v>212.47474747474749</v>
      </c>
      <c r="E34" s="26">
        <f t="shared" si="36"/>
        <v>212.99460431654674</v>
      </c>
      <c r="F34" s="26">
        <f t="shared" si="36"/>
        <v>145.69696969696969</v>
      </c>
      <c r="G34" s="26">
        <f t="shared" si="36"/>
        <v>82.926829268292678</v>
      </c>
      <c r="H34" s="77">
        <f t="shared" si="36"/>
        <v>301.14213197969542</v>
      </c>
      <c r="J34" s="381" t="s">
        <v>12</v>
      </c>
      <c r="K34" s="177">
        <f>K33/K32*100</f>
        <v>0</v>
      </c>
      <c r="L34" s="177">
        <f>L33/L32*100</f>
        <v>0</v>
      </c>
      <c r="M34" s="177">
        <v>0</v>
      </c>
      <c r="N34" s="177">
        <f>N33/N32*100</f>
        <v>0</v>
      </c>
      <c r="O34" s="177">
        <f>O33/O32*100</f>
        <v>0</v>
      </c>
      <c r="P34" s="177">
        <f>P33/P32*100</f>
        <v>0</v>
      </c>
      <c r="Q34" s="383">
        <f>Q33/Q32*100</f>
        <v>0</v>
      </c>
      <c r="R34" s="381" t="s">
        <v>12</v>
      </c>
      <c r="S34" s="177">
        <f>S33/S32*100</f>
        <v>182.62096774193549</v>
      </c>
      <c r="T34" s="177">
        <f>T33/T32*100</f>
        <v>189.10311958405546</v>
      </c>
      <c r="U34" s="177">
        <v>0</v>
      </c>
      <c r="V34" s="177">
        <f>V33/V32*100</f>
        <v>213.18631863186317</v>
      </c>
      <c r="W34" s="177">
        <f>W33/W32*100</f>
        <v>146.58536585365854</v>
      </c>
      <c r="X34" s="177">
        <f>X33/X32*100</f>
        <v>83.606557377049185</v>
      </c>
      <c r="Y34" s="383">
        <f>Y33/Y32*100</f>
        <v>301.90839694656489</v>
      </c>
      <c r="AA34" s="381" t="s">
        <v>12</v>
      </c>
      <c r="AB34" s="177">
        <f>AB33/AB32*100</f>
        <v>178.90688259109311</v>
      </c>
      <c r="AC34" s="177">
        <f>AC33/AC32*100</f>
        <v>186.70570375189763</v>
      </c>
      <c r="AD34" s="177">
        <v>0</v>
      </c>
      <c r="AE34" s="177">
        <f>AE33/AE32*100</f>
        <v>212.84362325371791</v>
      </c>
      <c r="AF34" s="177">
        <f>AF33/AF32*100</f>
        <v>145.1219512195122</v>
      </c>
      <c r="AG34" s="177">
        <f>AG33/AG32*100</f>
        <v>81.147540983606561</v>
      </c>
      <c r="AH34" s="383">
        <f>AH33/AH32*100</f>
        <v>300.12738853503186</v>
      </c>
      <c r="AJ34" s="381" t="s">
        <v>12</v>
      </c>
      <c r="AK34" s="177" t="e">
        <f>AK33/AK32*100</f>
        <v>#DIV/0!</v>
      </c>
      <c r="AL34" s="177" t="e">
        <f>AL33/AL32*100</f>
        <v>#DIV/0!</v>
      </c>
      <c r="AM34" s="177">
        <v>0</v>
      </c>
      <c r="AN34" s="177" t="e">
        <f>AN33/AN32*100</f>
        <v>#DIV/0!</v>
      </c>
      <c r="AO34" s="177" t="e">
        <f>AO33/AO32*100</f>
        <v>#DIV/0!</v>
      </c>
      <c r="AP34" s="177" t="e">
        <f>AP33/AP32*100</f>
        <v>#DIV/0!</v>
      </c>
      <c r="AQ34" s="383" t="e">
        <f>AQ33/AQ32*100</f>
        <v>#DIV/0!</v>
      </c>
    </row>
    <row r="35" spans="1:46">
      <c r="A35" s="107" t="s">
        <v>29</v>
      </c>
      <c r="B35" s="6">
        <f>K35+S35+AK35</f>
        <v>252.9</v>
      </c>
      <c r="C35" s="6">
        <f>L35+T35+AL35</f>
        <v>26502</v>
      </c>
      <c r="D35" s="6">
        <f>E35+F35+G35+H35</f>
        <v>23315</v>
      </c>
      <c r="E35" s="6">
        <f t="shared" ref="E35:H36" si="37">N35+V35+AN35</f>
        <v>2147</v>
      </c>
      <c r="F35" s="6">
        <f t="shared" si="37"/>
        <v>6798</v>
      </c>
      <c r="G35" s="6">
        <f t="shared" si="37"/>
        <v>1812</v>
      </c>
      <c r="H35" s="76">
        <f t="shared" si="37"/>
        <v>12558</v>
      </c>
      <c r="J35" s="381" t="s">
        <v>29</v>
      </c>
      <c r="K35" s="93">
        <v>1.1000000000000001</v>
      </c>
      <c r="L35" s="93">
        <v>86</v>
      </c>
      <c r="M35" s="93">
        <f>N35+O35+P35+Q35</f>
        <v>76</v>
      </c>
      <c r="N35" s="93">
        <v>3</v>
      </c>
      <c r="O35" s="93">
        <v>20</v>
      </c>
      <c r="P35" s="93">
        <v>6</v>
      </c>
      <c r="Q35" s="380">
        <v>47</v>
      </c>
      <c r="R35" s="381" t="s">
        <v>29</v>
      </c>
      <c r="S35" s="93">
        <v>251.8</v>
      </c>
      <c r="T35" s="449">
        <v>26416</v>
      </c>
      <c r="U35" s="30">
        <f>V35+W35+X35+Y35</f>
        <v>23239</v>
      </c>
      <c r="V35" s="93">
        <v>2144</v>
      </c>
      <c r="W35" s="449">
        <v>6778</v>
      </c>
      <c r="X35" s="93">
        <v>1806</v>
      </c>
      <c r="Y35" s="380">
        <v>12511</v>
      </c>
      <c r="AA35" s="381" t="s">
        <v>29</v>
      </c>
      <c r="AB35" s="93">
        <v>0.9</v>
      </c>
      <c r="AC35" s="93">
        <v>47</v>
      </c>
      <c r="AD35" s="93">
        <f>AE35+AF35+AG35+AH35</f>
        <v>17</v>
      </c>
      <c r="AE35" s="93">
        <v>3</v>
      </c>
      <c r="AF35" s="93">
        <v>10</v>
      </c>
      <c r="AG35" s="93">
        <v>3</v>
      </c>
      <c r="AH35" s="380">
        <v>1</v>
      </c>
      <c r="AJ35" s="381" t="s">
        <v>29</v>
      </c>
      <c r="AK35" s="93"/>
      <c r="AL35" s="93"/>
      <c r="AM35" s="93">
        <f>AN35+AO35+AP35+AQ35</f>
        <v>0</v>
      </c>
      <c r="AN35" s="93"/>
      <c r="AO35" s="93"/>
      <c r="AP35" s="93"/>
      <c r="AQ35" s="380"/>
    </row>
    <row r="36" spans="1:46">
      <c r="A36" s="107" t="s">
        <v>30</v>
      </c>
      <c r="B36" s="399">
        <f>K36+S36+AK36</f>
        <v>200.9</v>
      </c>
      <c r="C36" s="399">
        <f>L36+T36+AL36</f>
        <v>16224</v>
      </c>
      <c r="D36" s="399">
        <f>E36+F36+G36+H36</f>
        <v>15294</v>
      </c>
      <c r="E36" s="399">
        <f t="shared" si="37"/>
        <v>754</v>
      </c>
      <c r="F36" s="399">
        <f t="shared" si="37"/>
        <v>5028</v>
      </c>
      <c r="G36" s="399">
        <f t="shared" si="37"/>
        <v>985</v>
      </c>
      <c r="H36" s="436">
        <f t="shared" si="37"/>
        <v>8527</v>
      </c>
      <c r="I36" s="53"/>
      <c r="J36" s="448" t="s">
        <v>30</v>
      </c>
      <c r="K36" s="401">
        <v>0.3</v>
      </c>
      <c r="L36" s="401">
        <v>2</v>
      </c>
      <c r="M36" s="439">
        <f>N36+O36+P36+Q36</f>
        <v>2</v>
      </c>
      <c r="N36" s="401"/>
      <c r="O36" s="401"/>
      <c r="P36" s="401"/>
      <c r="Q36" s="402">
        <v>2</v>
      </c>
      <c r="R36" s="448" t="s">
        <v>30</v>
      </c>
      <c r="S36" s="441">
        <v>200.6</v>
      </c>
      <c r="T36" s="441">
        <v>16222</v>
      </c>
      <c r="U36" s="450">
        <f>V36+W36+X36+Y36</f>
        <v>15292</v>
      </c>
      <c r="V36" s="441">
        <v>754</v>
      </c>
      <c r="W36" s="446">
        <v>5028</v>
      </c>
      <c r="X36" s="451">
        <v>985</v>
      </c>
      <c r="Y36" s="441">
        <v>8525</v>
      </c>
      <c r="Z36" s="443"/>
      <c r="AA36" s="448" t="s">
        <v>30</v>
      </c>
      <c r="AB36" s="438">
        <v>0.02</v>
      </c>
      <c r="AC36" s="438">
        <v>7</v>
      </c>
      <c r="AD36" s="439">
        <f>AE36+AF36+AG36+AH36</f>
        <v>7</v>
      </c>
      <c r="AE36" s="438">
        <v>1</v>
      </c>
      <c r="AF36" s="438"/>
      <c r="AG36" s="438"/>
      <c r="AH36" s="440">
        <v>6</v>
      </c>
      <c r="AI36" s="443"/>
      <c r="AJ36" s="448" t="s">
        <v>30</v>
      </c>
      <c r="AK36" s="438"/>
      <c r="AL36" s="438"/>
      <c r="AM36" s="439">
        <f>AN36+AO36+AP36+AQ36</f>
        <v>0</v>
      </c>
      <c r="AN36" s="438"/>
      <c r="AO36" s="438"/>
      <c r="AP36" s="438"/>
      <c r="AQ36" s="440"/>
      <c r="AR36" s="203"/>
    </row>
    <row r="37" spans="1:46">
      <c r="A37" s="107" t="s">
        <v>12</v>
      </c>
      <c r="B37" s="26">
        <f t="shared" ref="B37:H37" si="38">B36/B35*100</f>
        <v>79.438513246342424</v>
      </c>
      <c r="C37" s="26">
        <f t="shared" si="38"/>
        <v>61.218021281412724</v>
      </c>
      <c r="D37" s="26">
        <f t="shared" si="38"/>
        <v>65.597254986060477</v>
      </c>
      <c r="E37" s="26">
        <f t="shared" si="38"/>
        <v>35.118770377270607</v>
      </c>
      <c r="F37" s="26">
        <f t="shared" si="38"/>
        <v>73.962930273609885</v>
      </c>
      <c r="G37" s="26">
        <f t="shared" si="38"/>
        <v>54.359823399558493</v>
      </c>
      <c r="H37" s="77">
        <f t="shared" si="38"/>
        <v>67.900939640070078</v>
      </c>
      <c r="J37" s="381" t="s">
        <v>12</v>
      </c>
      <c r="K37" s="177">
        <f>K36/K35*100</f>
        <v>27.27272727272727</v>
      </c>
      <c r="L37" s="177">
        <f>L36/L35*100</f>
        <v>2.3255813953488373</v>
      </c>
      <c r="M37" s="177">
        <v>0</v>
      </c>
      <c r="N37" s="177">
        <f>N36/N35*100</f>
        <v>0</v>
      </c>
      <c r="O37" s="177">
        <f>O36/O35*100</f>
        <v>0</v>
      </c>
      <c r="P37" s="177">
        <f>P36/P35*100</f>
        <v>0</v>
      </c>
      <c r="Q37" s="383">
        <f>Q36/Q35*100</f>
        <v>4.2553191489361701</v>
      </c>
      <c r="R37" s="381" t="s">
        <v>12</v>
      </c>
      <c r="S37" s="177">
        <f>S36/S35*100</f>
        <v>79.666401906274814</v>
      </c>
      <c r="T37" s="452">
        <f>T36/T35*100</f>
        <v>61.409751665657176</v>
      </c>
      <c r="U37" s="177">
        <v>0</v>
      </c>
      <c r="V37" s="177">
        <f>V36/V35*100</f>
        <v>35.167910447761194</v>
      </c>
      <c r="W37" s="452">
        <f>W36/W35*100</f>
        <v>74.181174387724994</v>
      </c>
      <c r="X37" s="177">
        <f>X36/X35*100</f>
        <v>54.540420819490585</v>
      </c>
      <c r="Y37" s="383">
        <f>Y36/Y35*100</f>
        <v>68.140036767644474</v>
      </c>
      <c r="AA37" s="381" t="s">
        <v>12</v>
      </c>
      <c r="AB37" s="177">
        <f>AB36/AB35*100</f>
        <v>2.2222222222222223</v>
      </c>
      <c r="AC37" s="177">
        <f>AC36/AC35*100</f>
        <v>14.893617021276595</v>
      </c>
      <c r="AD37" s="177">
        <v>0</v>
      </c>
      <c r="AE37" s="177">
        <f>AE36/AE35*100</f>
        <v>33.333333333333329</v>
      </c>
      <c r="AF37" s="177">
        <f>AF36/AF35*100</f>
        <v>0</v>
      </c>
      <c r="AG37" s="177">
        <f>AG36/AG35*100</f>
        <v>0</v>
      </c>
      <c r="AH37" s="383">
        <f>AH36/AH35*100</f>
        <v>600</v>
      </c>
      <c r="AJ37" s="381" t="s">
        <v>12</v>
      </c>
      <c r="AK37" s="177" t="e">
        <f>AK36/AK35*100</f>
        <v>#DIV/0!</v>
      </c>
      <c r="AL37" s="177" t="e">
        <f>AL36/AL35*100</f>
        <v>#DIV/0!</v>
      </c>
      <c r="AM37" s="177">
        <v>0</v>
      </c>
      <c r="AN37" s="177" t="e">
        <f>AN36/AN35*100</f>
        <v>#DIV/0!</v>
      </c>
      <c r="AO37" s="177" t="e">
        <f>AO36/AO35*100</f>
        <v>#DIV/0!</v>
      </c>
      <c r="AP37" s="177" t="e">
        <f>AP36/AP35*100</f>
        <v>#DIV/0!</v>
      </c>
      <c r="AQ37" s="383" t="e">
        <f>AQ36/AQ35*100</f>
        <v>#DIV/0!</v>
      </c>
    </row>
    <row r="38" spans="1:46">
      <c r="A38" s="107" t="s">
        <v>31</v>
      </c>
      <c r="B38" s="6">
        <f>K38+S38+AK38</f>
        <v>129</v>
      </c>
      <c r="C38" s="6">
        <f>L38+T38+AL38</f>
        <v>6718</v>
      </c>
      <c r="D38" s="6">
        <f>E38+F38+G38+H38</f>
        <v>5435</v>
      </c>
      <c r="E38" s="6">
        <f t="shared" ref="E38:H39" si="39">N38+V38+AN38</f>
        <v>722</v>
      </c>
      <c r="F38" s="6">
        <f t="shared" si="39"/>
        <v>1232</v>
      </c>
      <c r="G38" s="6">
        <f t="shared" si="39"/>
        <v>257</v>
      </c>
      <c r="H38" s="76">
        <f t="shared" si="39"/>
        <v>3224</v>
      </c>
      <c r="J38" s="381" t="s">
        <v>31</v>
      </c>
      <c r="K38" s="93">
        <v>89.4</v>
      </c>
      <c r="L38" s="93">
        <v>4080</v>
      </c>
      <c r="M38" s="30">
        <f>N38+O38+P38+Q38</f>
        <v>3354</v>
      </c>
      <c r="N38" s="93">
        <v>473</v>
      </c>
      <c r="O38" s="93">
        <v>877</v>
      </c>
      <c r="P38" s="93">
        <v>205</v>
      </c>
      <c r="Q38" s="380">
        <v>1799</v>
      </c>
      <c r="R38" s="381" t="s">
        <v>31</v>
      </c>
      <c r="S38" s="93">
        <v>39.6</v>
      </c>
      <c r="T38" s="93">
        <v>2638</v>
      </c>
      <c r="U38" s="30">
        <f>V38+W38+X38+Y38</f>
        <v>2081</v>
      </c>
      <c r="V38" s="93">
        <v>249</v>
      </c>
      <c r="W38" s="93">
        <v>355</v>
      </c>
      <c r="X38" s="93">
        <v>52</v>
      </c>
      <c r="Y38" s="380">
        <v>1425</v>
      </c>
      <c r="AA38" s="381" t="s">
        <v>31</v>
      </c>
      <c r="AB38" s="93">
        <v>11.4</v>
      </c>
      <c r="AC38" s="93">
        <v>712</v>
      </c>
      <c r="AD38" s="30">
        <f>AE38+AF38+AG38+AH38</f>
        <v>601</v>
      </c>
      <c r="AE38" s="93">
        <v>119</v>
      </c>
      <c r="AF38" s="93">
        <v>125</v>
      </c>
      <c r="AG38" s="93">
        <v>20</v>
      </c>
      <c r="AH38" s="380">
        <v>337</v>
      </c>
      <c r="AJ38" s="381" t="s">
        <v>31</v>
      </c>
      <c r="AK38" s="93"/>
      <c r="AL38" s="93"/>
      <c r="AM38" s="30">
        <f>AN38+AO38+AP38+AQ38</f>
        <v>0</v>
      </c>
      <c r="AN38" s="93"/>
      <c r="AO38" s="93"/>
      <c r="AP38" s="93"/>
      <c r="AQ38" s="380"/>
    </row>
    <row r="39" spans="1:46">
      <c r="A39" s="107" t="s">
        <v>32</v>
      </c>
      <c r="B39" s="399">
        <f>K39+S39+AK39</f>
        <v>176.41000000000003</v>
      </c>
      <c r="C39" s="399">
        <f>L39+T39+AL39</f>
        <v>8799</v>
      </c>
      <c r="D39" s="399">
        <f>E39+F39+G39+H39</f>
        <v>8114</v>
      </c>
      <c r="E39" s="399">
        <f t="shared" si="39"/>
        <v>1941</v>
      </c>
      <c r="F39" s="399">
        <f t="shared" si="39"/>
        <v>1649</v>
      </c>
      <c r="G39" s="399">
        <f t="shared" si="39"/>
        <v>227</v>
      </c>
      <c r="H39" s="436">
        <f t="shared" si="39"/>
        <v>4297</v>
      </c>
      <c r="I39" s="53"/>
      <c r="J39" s="448" t="s">
        <v>32</v>
      </c>
      <c r="K39" s="441">
        <v>103.9</v>
      </c>
      <c r="L39" s="441">
        <v>3027</v>
      </c>
      <c r="M39" s="439">
        <f>N39+O39+P39+Q39</f>
        <v>2862</v>
      </c>
      <c r="N39" s="441">
        <v>230</v>
      </c>
      <c r="O39" s="441">
        <v>983</v>
      </c>
      <c r="P39" s="441">
        <v>131</v>
      </c>
      <c r="Q39" s="442">
        <v>1518</v>
      </c>
      <c r="R39" s="448" t="s">
        <v>32</v>
      </c>
      <c r="S39" s="441">
        <v>72.510000000000005</v>
      </c>
      <c r="T39" s="441">
        <v>5772</v>
      </c>
      <c r="U39" s="439">
        <f>V39+W39+X39+Y39</f>
        <v>5252</v>
      </c>
      <c r="V39" s="441">
        <v>1711</v>
      </c>
      <c r="W39" s="441">
        <v>666</v>
      </c>
      <c r="X39" s="441">
        <v>96</v>
      </c>
      <c r="Y39" s="442">
        <v>2779</v>
      </c>
      <c r="Z39" s="443"/>
      <c r="AA39" s="448" t="s">
        <v>32</v>
      </c>
      <c r="AB39" s="446">
        <v>32.99</v>
      </c>
      <c r="AC39" s="446">
        <v>1955</v>
      </c>
      <c r="AD39" s="439">
        <f>AE39+AF39+AG39+AH39</f>
        <v>1738</v>
      </c>
      <c r="AE39" s="446">
        <v>521</v>
      </c>
      <c r="AF39" s="446">
        <v>265</v>
      </c>
      <c r="AG39" s="446">
        <v>54</v>
      </c>
      <c r="AH39" s="446">
        <v>898</v>
      </c>
      <c r="AI39" s="443"/>
      <c r="AJ39" s="448" t="s">
        <v>32</v>
      </c>
      <c r="AK39" s="438"/>
      <c r="AL39" s="438"/>
      <c r="AM39" s="439">
        <f>AN39+AO39+AP39+AQ39</f>
        <v>0</v>
      </c>
      <c r="AN39" s="438"/>
      <c r="AO39" s="438"/>
      <c r="AP39" s="438"/>
      <c r="AQ39" s="440"/>
      <c r="AR39" s="203"/>
      <c r="AT39" t="s">
        <v>63</v>
      </c>
    </row>
    <row r="40" spans="1:46" ht="13.8" thickBot="1">
      <c r="A40" s="108" t="s">
        <v>12</v>
      </c>
      <c r="B40" s="78">
        <f t="shared" ref="B40:H40" si="40">B39/B38*100</f>
        <v>136.75193798449615</v>
      </c>
      <c r="C40" s="78">
        <f t="shared" si="40"/>
        <v>130.97648109556414</v>
      </c>
      <c r="D40" s="78">
        <f t="shared" si="40"/>
        <v>149.2916283348666</v>
      </c>
      <c r="E40" s="78">
        <f t="shared" si="40"/>
        <v>268.83656509695288</v>
      </c>
      <c r="F40" s="78">
        <f t="shared" si="40"/>
        <v>133.84740259740261</v>
      </c>
      <c r="G40" s="78">
        <f t="shared" si="40"/>
        <v>88.326848249027236</v>
      </c>
      <c r="H40" s="384">
        <f t="shared" si="40"/>
        <v>133.28163771712158</v>
      </c>
      <c r="J40" s="385" t="s">
        <v>12</v>
      </c>
      <c r="K40" s="386">
        <f t="shared" ref="K40:Q40" si="41">K39/K38*100</f>
        <v>116.21923937360179</v>
      </c>
      <c r="L40" s="386">
        <f t="shared" si="41"/>
        <v>74.191176470588232</v>
      </c>
      <c r="M40" s="386">
        <f t="shared" si="41"/>
        <v>85.330948121645804</v>
      </c>
      <c r="N40" s="386">
        <f t="shared" si="41"/>
        <v>48.625792811839325</v>
      </c>
      <c r="O40" s="386">
        <f t="shared" si="41"/>
        <v>112.08665906499431</v>
      </c>
      <c r="P40" s="386">
        <f t="shared" si="41"/>
        <v>63.902439024390247</v>
      </c>
      <c r="Q40" s="387">
        <f t="shared" si="41"/>
        <v>84.380211228460254</v>
      </c>
      <c r="R40" s="385" t="s">
        <v>12</v>
      </c>
      <c r="S40" s="386">
        <f t="shared" ref="S40:Y40" si="42">S39/S38*100</f>
        <v>183.10606060606059</v>
      </c>
      <c r="T40" s="386">
        <f>T39/T38*100</f>
        <v>218.80212282031843</v>
      </c>
      <c r="U40" s="386">
        <f t="shared" si="42"/>
        <v>252.37866410379627</v>
      </c>
      <c r="V40" s="386">
        <f t="shared" si="42"/>
        <v>687.14859437751011</v>
      </c>
      <c r="W40" s="386">
        <f t="shared" si="42"/>
        <v>187.6056338028169</v>
      </c>
      <c r="X40" s="386">
        <f t="shared" si="42"/>
        <v>184.61538461538461</v>
      </c>
      <c r="Y40" s="387">
        <f t="shared" si="42"/>
        <v>195.01754385964912</v>
      </c>
      <c r="AA40" s="385" t="s">
        <v>12</v>
      </c>
      <c r="AB40" s="386">
        <f t="shared" ref="AB40:AH40" si="43">AB39/AB38*100</f>
        <v>289.38596491228071</v>
      </c>
      <c r="AC40" s="386">
        <f t="shared" si="43"/>
        <v>274.57865168539325</v>
      </c>
      <c r="AD40" s="386">
        <f t="shared" si="43"/>
        <v>289.18469217970051</v>
      </c>
      <c r="AE40" s="386">
        <f t="shared" si="43"/>
        <v>437.81512605042019</v>
      </c>
      <c r="AF40" s="386">
        <f t="shared" si="43"/>
        <v>212</v>
      </c>
      <c r="AG40" s="386">
        <f t="shared" si="43"/>
        <v>270</v>
      </c>
      <c r="AH40" s="387">
        <f t="shared" si="43"/>
        <v>266.46884272997033</v>
      </c>
      <c r="AJ40" s="385" t="s">
        <v>12</v>
      </c>
      <c r="AK40" s="386" t="e">
        <f t="shared" ref="AK40:AQ40" si="44">AK39/AK38*100</f>
        <v>#DIV/0!</v>
      </c>
      <c r="AL40" s="386" t="e">
        <f t="shared" si="44"/>
        <v>#DIV/0!</v>
      </c>
      <c r="AM40" s="386" t="e">
        <f t="shared" si="44"/>
        <v>#DIV/0!</v>
      </c>
      <c r="AN40" s="386" t="e">
        <f t="shared" si="44"/>
        <v>#DIV/0!</v>
      </c>
      <c r="AO40" s="386" t="e">
        <f t="shared" si="44"/>
        <v>#DIV/0!</v>
      </c>
      <c r="AP40" s="386" t="e">
        <f t="shared" si="44"/>
        <v>#DIV/0!</v>
      </c>
      <c r="AQ40" s="387" t="e">
        <f t="shared" si="44"/>
        <v>#DIV/0!</v>
      </c>
    </row>
    <row r="41" spans="1:46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6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6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6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6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6">
      <c r="A46" s="82" t="s">
        <v>40</v>
      </c>
      <c r="B46" s="83">
        <f t="shared" ref="B46:H47" si="45">K9+S9+AK9</f>
        <v>807.3</v>
      </c>
      <c r="C46" s="83">
        <f t="shared" si="45"/>
        <v>51672</v>
      </c>
      <c r="D46" s="83">
        <f t="shared" si="45"/>
        <v>44863</v>
      </c>
      <c r="E46" s="83">
        <f t="shared" si="45"/>
        <v>6183</v>
      </c>
      <c r="F46" s="83">
        <f t="shared" si="45"/>
        <v>12109</v>
      </c>
      <c r="G46" s="83">
        <f t="shared" si="45"/>
        <v>2769</v>
      </c>
      <c r="H46" s="83">
        <f t="shared" si="45"/>
        <v>23802</v>
      </c>
    </row>
    <row r="47" spans="1:46">
      <c r="A47" s="84" t="s">
        <v>50</v>
      </c>
      <c r="B47" s="83">
        <f t="shared" si="45"/>
        <v>860.49999999999989</v>
      </c>
      <c r="C47" s="83">
        <f t="shared" si="45"/>
        <v>47669</v>
      </c>
      <c r="D47" s="83">
        <f t="shared" si="45"/>
        <v>44912</v>
      </c>
      <c r="E47" s="83">
        <f t="shared" si="45"/>
        <v>10637</v>
      </c>
      <c r="F47" s="83">
        <f t="shared" si="45"/>
        <v>10872</v>
      </c>
      <c r="G47" s="83">
        <f t="shared" si="45"/>
        <v>1623</v>
      </c>
      <c r="H47" s="83">
        <f t="shared" si="45"/>
        <v>21780</v>
      </c>
    </row>
    <row r="48" spans="1:46">
      <c r="A48" s="85" t="s">
        <v>44</v>
      </c>
      <c r="B48" s="86">
        <f>B47/B46*100</f>
        <v>106.58986745943267</v>
      </c>
      <c r="C48" s="86">
        <f t="shared" ref="C48:H48" si="46">C47/C46*100</f>
        <v>92.253057748877538</v>
      </c>
      <c r="D48" s="86">
        <f t="shared" si="46"/>
        <v>100.10922140739584</v>
      </c>
      <c r="E48" s="86">
        <f t="shared" si="46"/>
        <v>172.03622836810609</v>
      </c>
      <c r="F48" s="86">
        <f t="shared" si="46"/>
        <v>89.784457841275085</v>
      </c>
      <c r="G48" s="86">
        <f t="shared" si="46"/>
        <v>58.613217768147344</v>
      </c>
      <c r="H48" s="86">
        <f t="shared" si="46"/>
        <v>91.504915553314845</v>
      </c>
    </row>
    <row r="49" spans="1:11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11">
      <c r="A50" s="75" t="s">
        <v>40</v>
      </c>
      <c r="B50" s="90">
        <f t="shared" ref="B50:H51" si="47">K13+S13+AK13</f>
        <v>9.3000000000000007</v>
      </c>
      <c r="C50" s="90">
        <f t="shared" si="47"/>
        <v>471</v>
      </c>
      <c r="D50" s="90">
        <f t="shared" si="47"/>
        <v>309</v>
      </c>
      <c r="E50" s="90">
        <f t="shared" si="47"/>
        <v>40</v>
      </c>
      <c r="F50" s="90">
        <f t="shared" si="47"/>
        <v>185</v>
      </c>
      <c r="G50" s="90">
        <f t="shared" si="47"/>
        <v>29</v>
      </c>
      <c r="H50" s="90">
        <f t="shared" si="47"/>
        <v>55</v>
      </c>
    </row>
    <row r="51" spans="1:11">
      <c r="A51" s="75" t="s">
        <v>50</v>
      </c>
      <c r="B51" s="90">
        <f t="shared" si="47"/>
        <v>5.3</v>
      </c>
      <c r="C51" s="90">
        <f t="shared" si="47"/>
        <v>179</v>
      </c>
      <c r="D51" s="90">
        <f t="shared" si="47"/>
        <v>141</v>
      </c>
      <c r="E51" s="90">
        <f t="shared" si="47"/>
        <v>49</v>
      </c>
      <c r="F51" s="90">
        <f t="shared" si="47"/>
        <v>42</v>
      </c>
      <c r="G51" s="90">
        <f t="shared" si="47"/>
        <v>0</v>
      </c>
      <c r="H51" s="90">
        <f t="shared" si="47"/>
        <v>50</v>
      </c>
      <c r="K51" s="94"/>
    </row>
    <row r="52" spans="1:11">
      <c r="A52" s="75" t="s">
        <v>44</v>
      </c>
      <c r="B52" s="91">
        <f t="shared" ref="B52:H52" si="48">B51/B50*100</f>
        <v>56.989247311827953</v>
      </c>
      <c r="C52" s="91">
        <f t="shared" si="48"/>
        <v>38.004246284501065</v>
      </c>
      <c r="D52" s="91">
        <f t="shared" si="48"/>
        <v>45.631067961165051</v>
      </c>
      <c r="E52" s="91">
        <f t="shared" si="48"/>
        <v>122.50000000000001</v>
      </c>
      <c r="F52" s="91">
        <f t="shared" si="48"/>
        <v>22.702702702702705</v>
      </c>
      <c r="G52" s="91">
        <f t="shared" si="48"/>
        <v>0</v>
      </c>
      <c r="H52" s="91">
        <f t="shared" si="48"/>
        <v>90.909090909090907</v>
      </c>
    </row>
    <row r="53" spans="1:11">
      <c r="A53" s="75" t="s">
        <v>13</v>
      </c>
      <c r="B53" s="90">
        <f t="shared" ref="B53:H55" si="49">K16+S16+AK16</f>
        <v>0.7</v>
      </c>
      <c r="C53" s="90">
        <f t="shared" si="49"/>
        <v>3</v>
      </c>
      <c r="D53" s="90">
        <f t="shared" si="49"/>
        <v>3</v>
      </c>
      <c r="E53" s="90">
        <f t="shared" si="49"/>
        <v>1</v>
      </c>
      <c r="F53" s="90">
        <f t="shared" si="49"/>
        <v>1</v>
      </c>
      <c r="G53" s="90">
        <f t="shared" si="49"/>
        <v>0</v>
      </c>
      <c r="H53" s="90">
        <f t="shared" si="49"/>
        <v>1</v>
      </c>
    </row>
    <row r="54" spans="1:11">
      <c r="A54" s="92" t="s">
        <v>14</v>
      </c>
      <c r="B54" s="90">
        <f t="shared" si="49"/>
        <v>0</v>
      </c>
      <c r="C54" s="90">
        <f t="shared" si="49"/>
        <v>0</v>
      </c>
      <c r="D54" s="90">
        <f t="shared" si="49"/>
        <v>0</v>
      </c>
      <c r="E54" s="90">
        <f t="shared" si="49"/>
        <v>0</v>
      </c>
      <c r="F54" s="90">
        <f t="shared" si="49"/>
        <v>0</v>
      </c>
      <c r="G54" s="90">
        <f t="shared" si="49"/>
        <v>0</v>
      </c>
      <c r="H54" s="90">
        <f t="shared" si="49"/>
        <v>0</v>
      </c>
    </row>
    <row r="55" spans="1:11">
      <c r="A55" s="75" t="s">
        <v>15</v>
      </c>
      <c r="B55" s="90">
        <f t="shared" si="49"/>
        <v>0</v>
      </c>
      <c r="C55" s="90">
        <f t="shared" si="49"/>
        <v>0</v>
      </c>
      <c r="D55" s="90">
        <f t="shared" si="49"/>
        <v>0</v>
      </c>
      <c r="E55" s="90">
        <f t="shared" si="49"/>
        <v>0</v>
      </c>
      <c r="F55" s="90">
        <f t="shared" si="49"/>
        <v>0</v>
      </c>
      <c r="G55" s="90">
        <f t="shared" si="49"/>
        <v>0</v>
      </c>
      <c r="H55" s="90">
        <f t="shared" si="49"/>
        <v>0</v>
      </c>
    </row>
    <row r="56" spans="1:11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11">
      <c r="A57" s="75" t="s">
        <v>40</v>
      </c>
      <c r="B57" s="90">
        <f t="shared" ref="B57:H58" si="50">K20+S20+AK20</f>
        <v>798</v>
      </c>
      <c r="C57" s="90">
        <f t="shared" si="50"/>
        <v>51201</v>
      </c>
      <c r="D57" s="90">
        <f t="shared" si="50"/>
        <v>44554</v>
      </c>
      <c r="E57" s="90">
        <f t="shared" si="50"/>
        <v>6143</v>
      </c>
      <c r="F57" s="90">
        <f t="shared" si="50"/>
        <v>11924</v>
      </c>
      <c r="G57" s="90">
        <f t="shared" si="50"/>
        <v>2740</v>
      </c>
      <c r="H57" s="90">
        <f t="shared" si="50"/>
        <v>23747</v>
      </c>
    </row>
    <row r="58" spans="1:11">
      <c r="A58" s="92" t="s">
        <v>50</v>
      </c>
      <c r="B58" s="90">
        <f t="shared" si="50"/>
        <v>855.19999999999993</v>
      </c>
      <c r="C58" s="90">
        <f t="shared" si="50"/>
        <v>47490</v>
      </c>
      <c r="D58" s="90">
        <f t="shared" si="50"/>
        <v>44771</v>
      </c>
      <c r="E58" s="90">
        <f t="shared" si="50"/>
        <v>10588</v>
      </c>
      <c r="F58" s="90">
        <f t="shared" si="50"/>
        <v>10830</v>
      </c>
      <c r="G58" s="90">
        <f t="shared" si="50"/>
        <v>1623</v>
      </c>
      <c r="H58" s="90">
        <f t="shared" si="50"/>
        <v>21730</v>
      </c>
    </row>
    <row r="59" spans="1:11">
      <c r="A59" s="75" t="s">
        <v>44</v>
      </c>
      <c r="B59" s="91">
        <f t="shared" ref="B59:H59" si="51">B58/B57*100</f>
        <v>107.16791979949873</v>
      </c>
      <c r="C59" s="91">
        <f t="shared" si="51"/>
        <v>92.752094685650661</v>
      </c>
      <c r="D59" s="91">
        <f t="shared" si="51"/>
        <v>100.48704942317188</v>
      </c>
      <c r="E59" s="91">
        <f t="shared" si="51"/>
        <v>172.35878235389873</v>
      </c>
      <c r="F59" s="91">
        <f t="shared" si="51"/>
        <v>90.825226434082523</v>
      </c>
      <c r="G59" s="91">
        <f t="shared" si="51"/>
        <v>59.233576642335763</v>
      </c>
      <c r="H59" s="91">
        <f t="shared" si="51"/>
        <v>91.506295532067199</v>
      </c>
    </row>
    <row r="60" spans="1:11">
      <c r="A60" s="75" t="s">
        <v>21</v>
      </c>
      <c r="B60" s="90">
        <f t="shared" ref="B60:H61" si="52">K23+S23+AK23</f>
        <v>0</v>
      </c>
      <c r="C60" s="90">
        <f t="shared" si="52"/>
        <v>0</v>
      </c>
      <c r="D60" s="90">
        <f t="shared" si="52"/>
        <v>0</v>
      </c>
      <c r="E60" s="90">
        <f t="shared" si="52"/>
        <v>0</v>
      </c>
      <c r="F60" s="90">
        <f t="shared" si="52"/>
        <v>0</v>
      </c>
      <c r="G60" s="90">
        <f t="shared" si="52"/>
        <v>0</v>
      </c>
      <c r="H60" s="90">
        <f t="shared" si="52"/>
        <v>0</v>
      </c>
    </row>
    <row r="61" spans="1:11">
      <c r="A61" s="75" t="s">
        <v>51</v>
      </c>
      <c r="B61" s="90">
        <f t="shared" si="52"/>
        <v>0</v>
      </c>
      <c r="C61" s="90">
        <f t="shared" si="52"/>
        <v>0</v>
      </c>
      <c r="D61" s="90">
        <f t="shared" si="52"/>
        <v>0</v>
      </c>
      <c r="E61" s="90">
        <f t="shared" si="52"/>
        <v>0</v>
      </c>
      <c r="F61" s="90">
        <f t="shared" si="52"/>
        <v>0</v>
      </c>
      <c r="G61" s="90">
        <f t="shared" si="52"/>
        <v>0</v>
      </c>
      <c r="H61" s="90">
        <f t="shared" si="52"/>
        <v>0</v>
      </c>
    </row>
    <row r="62" spans="1:11">
      <c r="A62" s="75" t="s">
        <v>12</v>
      </c>
      <c r="B62" s="91" t="e">
        <f t="shared" ref="B62:H62" si="53">B61/B60*100</f>
        <v>#DIV/0!</v>
      </c>
      <c r="C62" s="91" t="e">
        <f t="shared" si="53"/>
        <v>#DIV/0!</v>
      </c>
      <c r="D62" s="91" t="e">
        <f t="shared" si="53"/>
        <v>#DIV/0!</v>
      </c>
      <c r="E62" s="91" t="e">
        <f t="shared" si="53"/>
        <v>#DIV/0!</v>
      </c>
      <c r="F62" s="91" t="e">
        <f t="shared" si="53"/>
        <v>#DIV/0!</v>
      </c>
      <c r="G62" s="91" t="e">
        <f t="shared" si="53"/>
        <v>#DIV/0!</v>
      </c>
      <c r="H62" s="91" t="e">
        <f t="shared" si="53"/>
        <v>#DIV/0!</v>
      </c>
    </row>
    <row r="63" spans="1:11">
      <c r="A63" s="75" t="s">
        <v>23</v>
      </c>
      <c r="B63" s="90">
        <f t="shared" ref="B63:H64" si="54">K26+S26+AK26</f>
        <v>58.7</v>
      </c>
      <c r="C63" s="90">
        <f t="shared" si="54"/>
        <v>2226</v>
      </c>
      <c r="D63" s="90">
        <f t="shared" si="54"/>
        <v>1955</v>
      </c>
      <c r="E63" s="90">
        <f t="shared" si="54"/>
        <v>200</v>
      </c>
      <c r="F63" s="90">
        <f t="shared" si="54"/>
        <v>469</v>
      </c>
      <c r="G63" s="90">
        <f t="shared" si="54"/>
        <v>69</v>
      </c>
      <c r="H63" s="90">
        <f t="shared" si="54"/>
        <v>1217</v>
      </c>
    </row>
    <row r="64" spans="1:11">
      <c r="A64" s="75" t="s">
        <v>45</v>
      </c>
      <c r="B64" s="90">
        <f t="shared" si="54"/>
        <v>84.1</v>
      </c>
      <c r="C64" s="90">
        <f t="shared" si="54"/>
        <v>3496</v>
      </c>
      <c r="D64" s="90">
        <f t="shared" si="54"/>
        <v>3386</v>
      </c>
      <c r="E64" s="90">
        <f t="shared" si="54"/>
        <v>1117</v>
      </c>
      <c r="F64" s="90">
        <f t="shared" si="54"/>
        <v>677</v>
      </c>
      <c r="G64" s="90">
        <f t="shared" si="54"/>
        <v>43</v>
      </c>
      <c r="H64" s="90">
        <f t="shared" si="54"/>
        <v>1549</v>
      </c>
    </row>
    <row r="65" spans="1:8">
      <c r="A65" s="75" t="s">
        <v>12</v>
      </c>
      <c r="B65" s="91">
        <f t="shared" ref="B65:H65" si="55">B64/B63*100</f>
        <v>143.2708688245315</v>
      </c>
      <c r="C65" s="91">
        <f t="shared" si="55"/>
        <v>157.05300988319857</v>
      </c>
      <c r="D65" s="91">
        <f t="shared" si="55"/>
        <v>173.19693094629156</v>
      </c>
      <c r="E65" s="91">
        <f t="shared" si="55"/>
        <v>558.5</v>
      </c>
      <c r="F65" s="91">
        <f t="shared" si="55"/>
        <v>144.34968017057571</v>
      </c>
      <c r="G65" s="91">
        <f t="shared" si="55"/>
        <v>62.318840579710141</v>
      </c>
      <c r="H65" s="91">
        <f t="shared" si="55"/>
        <v>127.28019720624486</v>
      </c>
    </row>
    <row r="66" spans="1:8">
      <c r="A66" s="75" t="s">
        <v>25</v>
      </c>
      <c r="B66" s="90">
        <f t="shared" ref="B66:H67" si="56">K29+S29+AK29</f>
        <v>332.5</v>
      </c>
      <c r="C66" s="90">
        <f t="shared" si="56"/>
        <v>11126</v>
      </c>
      <c r="D66" s="90">
        <f t="shared" si="56"/>
        <v>9889</v>
      </c>
      <c r="E66" s="90">
        <f t="shared" si="56"/>
        <v>850</v>
      </c>
      <c r="F66" s="90">
        <f t="shared" si="56"/>
        <v>2600</v>
      </c>
      <c r="G66" s="90">
        <f t="shared" si="56"/>
        <v>479</v>
      </c>
      <c r="H66" s="90">
        <f t="shared" si="56"/>
        <v>5960</v>
      </c>
    </row>
    <row r="67" spans="1:8">
      <c r="A67" s="75" t="s">
        <v>46</v>
      </c>
      <c r="B67" s="90">
        <f t="shared" si="56"/>
        <v>348.5</v>
      </c>
      <c r="C67" s="90">
        <f t="shared" si="56"/>
        <v>10242</v>
      </c>
      <c r="D67" s="90">
        <f t="shared" si="56"/>
        <v>9563</v>
      </c>
      <c r="E67" s="90">
        <f t="shared" si="56"/>
        <v>2039</v>
      </c>
      <c r="F67" s="90">
        <f t="shared" si="56"/>
        <v>2274</v>
      </c>
      <c r="G67" s="90">
        <f t="shared" si="56"/>
        <v>266</v>
      </c>
      <c r="H67" s="90">
        <f t="shared" si="56"/>
        <v>4984</v>
      </c>
    </row>
    <row r="68" spans="1:8">
      <c r="A68" s="75" t="s">
        <v>12</v>
      </c>
      <c r="B68" s="91">
        <f t="shared" ref="B68:H68" si="57">B67/B66*100</f>
        <v>104.81203007518798</v>
      </c>
      <c r="C68" s="91">
        <f t="shared" si="57"/>
        <v>92.054646773323739</v>
      </c>
      <c r="D68" s="91">
        <f t="shared" si="57"/>
        <v>96.703407826878347</v>
      </c>
      <c r="E68" s="91">
        <f t="shared" si="57"/>
        <v>239.88235294117649</v>
      </c>
      <c r="F68" s="91">
        <f t="shared" si="57"/>
        <v>87.461538461538453</v>
      </c>
      <c r="G68" s="91">
        <f t="shared" si="57"/>
        <v>55.532359081419628</v>
      </c>
      <c r="H68" s="91">
        <f t="shared" si="57"/>
        <v>83.624161073825505</v>
      </c>
    </row>
    <row r="69" spans="1:8">
      <c r="A69" s="75" t="s">
        <v>27</v>
      </c>
      <c r="B69" s="90">
        <f t="shared" ref="B69:H70" si="58">K32+S32+AK32</f>
        <v>24.900000000000002</v>
      </c>
      <c r="C69" s="90">
        <f t="shared" si="58"/>
        <v>4629</v>
      </c>
      <c r="D69" s="90">
        <f t="shared" si="58"/>
        <v>3960</v>
      </c>
      <c r="E69" s="90">
        <f t="shared" si="58"/>
        <v>2224</v>
      </c>
      <c r="F69" s="90">
        <f t="shared" si="58"/>
        <v>825</v>
      </c>
      <c r="G69" s="90">
        <f t="shared" si="58"/>
        <v>123</v>
      </c>
      <c r="H69" s="90">
        <f t="shared" si="58"/>
        <v>788</v>
      </c>
    </row>
    <row r="70" spans="1:8">
      <c r="A70" s="75" t="s">
        <v>47</v>
      </c>
      <c r="B70" s="90">
        <f t="shared" si="58"/>
        <v>45.29</v>
      </c>
      <c r="C70" s="90">
        <f t="shared" si="58"/>
        <v>8729</v>
      </c>
      <c r="D70" s="90">
        <f t="shared" si="58"/>
        <v>8414</v>
      </c>
      <c r="E70" s="90">
        <f t="shared" si="58"/>
        <v>4737</v>
      </c>
      <c r="F70" s="90">
        <f t="shared" si="58"/>
        <v>1202</v>
      </c>
      <c r="G70" s="90">
        <f t="shared" si="58"/>
        <v>102</v>
      </c>
      <c r="H70" s="90">
        <f t="shared" si="58"/>
        <v>2373</v>
      </c>
    </row>
    <row r="71" spans="1:8">
      <c r="A71" s="75" t="s">
        <v>12</v>
      </c>
      <c r="B71" s="91">
        <f t="shared" ref="B71:H71" si="59">B70/B69*100</f>
        <v>181.88755020080319</v>
      </c>
      <c r="C71" s="91">
        <f t="shared" si="59"/>
        <v>188.57204579822854</v>
      </c>
      <c r="D71" s="91">
        <f t="shared" si="59"/>
        <v>212.47474747474749</v>
      </c>
      <c r="E71" s="91">
        <f t="shared" si="59"/>
        <v>212.99460431654674</v>
      </c>
      <c r="F71" s="91">
        <f t="shared" si="59"/>
        <v>145.69696969696969</v>
      </c>
      <c r="G71" s="91">
        <f t="shared" si="59"/>
        <v>82.926829268292678</v>
      </c>
      <c r="H71" s="91">
        <f t="shared" si="59"/>
        <v>301.14213197969542</v>
      </c>
    </row>
    <row r="72" spans="1:8">
      <c r="A72" s="75" t="s">
        <v>29</v>
      </c>
      <c r="B72" s="90">
        <f t="shared" ref="B72:H73" si="60">K35+S35+AK35</f>
        <v>252.9</v>
      </c>
      <c r="C72" s="90">
        <f t="shared" si="60"/>
        <v>26502</v>
      </c>
      <c r="D72" s="90">
        <f t="shared" si="60"/>
        <v>23315</v>
      </c>
      <c r="E72" s="90">
        <f t="shared" si="60"/>
        <v>2147</v>
      </c>
      <c r="F72" s="90">
        <f t="shared" si="60"/>
        <v>6798</v>
      </c>
      <c r="G72" s="90">
        <f t="shared" si="60"/>
        <v>1812</v>
      </c>
      <c r="H72" s="90">
        <f t="shared" si="60"/>
        <v>12558</v>
      </c>
    </row>
    <row r="73" spans="1:8">
      <c r="A73" s="75" t="s">
        <v>48</v>
      </c>
      <c r="B73" s="90">
        <f t="shared" si="60"/>
        <v>200.9</v>
      </c>
      <c r="C73" s="90">
        <f t="shared" si="60"/>
        <v>16224</v>
      </c>
      <c r="D73" s="90">
        <f t="shared" si="60"/>
        <v>15294</v>
      </c>
      <c r="E73" s="90">
        <f t="shared" si="60"/>
        <v>754</v>
      </c>
      <c r="F73" s="90">
        <f t="shared" si="60"/>
        <v>5028</v>
      </c>
      <c r="G73" s="90">
        <f t="shared" si="60"/>
        <v>985</v>
      </c>
      <c r="H73" s="90">
        <f t="shared" si="60"/>
        <v>8527</v>
      </c>
    </row>
    <row r="74" spans="1:8">
      <c r="A74" s="75" t="s">
        <v>12</v>
      </c>
      <c r="B74" s="91">
        <f t="shared" ref="B74:H74" si="61">B73/B72*100</f>
        <v>79.438513246342424</v>
      </c>
      <c r="C74" s="91">
        <f t="shared" si="61"/>
        <v>61.218021281412724</v>
      </c>
      <c r="D74" s="91">
        <f t="shared" si="61"/>
        <v>65.597254986060477</v>
      </c>
      <c r="E74" s="91">
        <f t="shared" si="61"/>
        <v>35.118770377270607</v>
      </c>
      <c r="F74" s="91">
        <f t="shared" si="61"/>
        <v>73.962930273609885</v>
      </c>
      <c r="G74" s="91">
        <f t="shared" si="61"/>
        <v>54.359823399558493</v>
      </c>
      <c r="H74" s="91">
        <f t="shared" si="61"/>
        <v>67.900939640070078</v>
      </c>
    </row>
    <row r="75" spans="1:8">
      <c r="A75" s="75" t="s">
        <v>31</v>
      </c>
      <c r="B75" s="90">
        <f t="shared" ref="B75:H76" si="62">K38+S38+AK38</f>
        <v>129</v>
      </c>
      <c r="C75" s="90">
        <f t="shared" si="62"/>
        <v>6718</v>
      </c>
      <c r="D75" s="90">
        <f t="shared" si="62"/>
        <v>5435</v>
      </c>
      <c r="E75" s="90">
        <f t="shared" si="62"/>
        <v>722</v>
      </c>
      <c r="F75" s="90">
        <f t="shared" si="62"/>
        <v>1232</v>
      </c>
      <c r="G75" s="90">
        <f t="shared" si="62"/>
        <v>257</v>
      </c>
      <c r="H75" s="90">
        <f t="shared" si="62"/>
        <v>3224</v>
      </c>
    </row>
    <row r="76" spans="1:8">
      <c r="A76" s="75" t="s">
        <v>52</v>
      </c>
      <c r="B76" s="90">
        <f t="shared" si="62"/>
        <v>176.41000000000003</v>
      </c>
      <c r="C76" s="90">
        <f t="shared" si="62"/>
        <v>8799</v>
      </c>
      <c r="D76" s="90">
        <f t="shared" si="62"/>
        <v>8114</v>
      </c>
      <c r="E76" s="90">
        <f t="shared" si="62"/>
        <v>1941</v>
      </c>
      <c r="F76" s="90">
        <f t="shared" si="62"/>
        <v>1649</v>
      </c>
      <c r="G76" s="90">
        <f t="shared" si="62"/>
        <v>227</v>
      </c>
      <c r="H76" s="90">
        <f t="shared" si="62"/>
        <v>4297</v>
      </c>
    </row>
    <row r="77" spans="1:8">
      <c r="A77" s="75" t="s">
        <v>12</v>
      </c>
      <c r="B77" s="91">
        <f t="shared" ref="B77:H77" si="63">B76/B75*100</f>
        <v>136.75193798449615</v>
      </c>
      <c r="C77" s="91">
        <f t="shared" si="63"/>
        <v>130.97648109556414</v>
      </c>
      <c r="D77" s="91">
        <f t="shared" si="63"/>
        <v>149.2916283348666</v>
      </c>
      <c r="E77" s="91">
        <f t="shared" si="63"/>
        <v>268.83656509695288</v>
      </c>
      <c r="F77" s="91">
        <f t="shared" si="63"/>
        <v>133.84740259740261</v>
      </c>
      <c r="G77" s="91">
        <f t="shared" si="63"/>
        <v>88.326848249027236</v>
      </c>
      <c r="H77" s="91">
        <f t="shared" si="63"/>
        <v>133.28163771712158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64">B9-B46</f>
        <v>0</v>
      </c>
      <c r="C83" s="83">
        <f t="shared" si="64"/>
        <v>0</v>
      </c>
      <c r="D83" s="83">
        <f t="shared" si="64"/>
        <v>0</v>
      </c>
      <c r="E83" s="83">
        <f t="shared" si="64"/>
        <v>0</v>
      </c>
      <c r="F83" s="83">
        <f t="shared" si="64"/>
        <v>0</v>
      </c>
      <c r="G83" s="83">
        <f t="shared" si="64"/>
        <v>0</v>
      </c>
      <c r="H83" s="83">
        <f t="shared" si="64"/>
        <v>0</v>
      </c>
    </row>
    <row r="84" spans="1:8">
      <c r="A84" s="84" t="s">
        <v>50</v>
      </c>
      <c r="B84" s="83">
        <f t="shared" si="64"/>
        <v>0</v>
      </c>
      <c r="C84" s="83">
        <f t="shared" si="64"/>
        <v>0</v>
      </c>
      <c r="D84" s="83">
        <f t="shared" si="64"/>
        <v>0</v>
      </c>
      <c r="E84" s="83">
        <f t="shared" si="64"/>
        <v>0</v>
      </c>
      <c r="F84" s="83">
        <f t="shared" si="64"/>
        <v>0</v>
      </c>
      <c r="G84" s="83">
        <f t="shared" si="64"/>
        <v>0</v>
      </c>
      <c r="H84" s="83">
        <f t="shared" si="64"/>
        <v>0</v>
      </c>
    </row>
    <row r="85" spans="1:8">
      <c r="A85" s="85" t="s">
        <v>44</v>
      </c>
      <c r="B85" s="83">
        <f t="shared" si="64"/>
        <v>0</v>
      </c>
      <c r="C85" s="83">
        <f t="shared" si="64"/>
        <v>0</v>
      </c>
      <c r="D85" s="83">
        <f t="shared" si="64"/>
        <v>0</v>
      </c>
      <c r="E85" s="83">
        <f t="shared" si="64"/>
        <v>0</v>
      </c>
      <c r="F85" s="83">
        <f t="shared" si="64"/>
        <v>0</v>
      </c>
      <c r="G85" s="83">
        <f t="shared" si="64"/>
        <v>0</v>
      </c>
      <c r="H85" s="83">
        <f t="shared" si="64"/>
        <v>0</v>
      </c>
    </row>
    <row r="86" spans="1:8">
      <c r="A86" s="87" t="s">
        <v>11</v>
      </c>
      <c r="B86" s="83">
        <f t="shared" si="64"/>
        <v>0</v>
      </c>
      <c r="C86" s="83">
        <f t="shared" si="64"/>
        <v>0</v>
      </c>
      <c r="D86" s="83">
        <f t="shared" si="64"/>
        <v>0</v>
      </c>
      <c r="E86" s="83">
        <f t="shared" si="64"/>
        <v>0</v>
      </c>
      <c r="F86" s="83">
        <f t="shared" si="64"/>
        <v>0</v>
      </c>
      <c r="G86" s="83">
        <f t="shared" si="64"/>
        <v>0</v>
      </c>
      <c r="H86" s="83">
        <f t="shared" si="64"/>
        <v>0</v>
      </c>
    </row>
    <row r="87" spans="1:8">
      <c r="A87" s="75" t="s">
        <v>40</v>
      </c>
      <c r="B87" s="83">
        <f t="shared" si="64"/>
        <v>0</v>
      </c>
      <c r="C87" s="83">
        <f t="shared" si="64"/>
        <v>0</v>
      </c>
      <c r="D87" s="83">
        <f t="shared" si="64"/>
        <v>0</v>
      </c>
      <c r="E87" s="83">
        <f t="shared" si="64"/>
        <v>0</v>
      </c>
      <c r="F87" s="83">
        <f t="shared" si="64"/>
        <v>0</v>
      </c>
      <c r="G87" s="83">
        <f t="shared" si="64"/>
        <v>0</v>
      </c>
      <c r="H87" s="83">
        <f t="shared" si="64"/>
        <v>0</v>
      </c>
    </row>
    <row r="88" spans="1:8">
      <c r="A88" s="75" t="s">
        <v>50</v>
      </c>
      <c r="B88" s="83">
        <f t="shared" si="64"/>
        <v>0</v>
      </c>
      <c r="C88" s="83">
        <f t="shared" si="64"/>
        <v>0</v>
      </c>
      <c r="D88" s="83">
        <f t="shared" si="64"/>
        <v>0</v>
      </c>
      <c r="E88" s="83">
        <f t="shared" si="64"/>
        <v>0</v>
      </c>
      <c r="F88" s="83">
        <f t="shared" si="64"/>
        <v>0</v>
      </c>
      <c r="G88" s="83">
        <f t="shared" si="64"/>
        <v>0</v>
      </c>
      <c r="H88" s="83">
        <f t="shared" si="64"/>
        <v>0</v>
      </c>
    </row>
    <row r="89" spans="1:8">
      <c r="A89" s="75" t="s">
        <v>44</v>
      </c>
      <c r="B89" s="83">
        <f t="shared" si="64"/>
        <v>0</v>
      </c>
      <c r="C89" s="83">
        <f t="shared" si="64"/>
        <v>0</v>
      </c>
      <c r="D89" s="83">
        <f t="shared" si="64"/>
        <v>0</v>
      </c>
      <c r="E89" s="83">
        <f t="shared" si="64"/>
        <v>0</v>
      </c>
      <c r="F89" s="83">
        <f t="shared" si="64"/>
        <v>0</v>
      </c>
      <c r="G89" s="83">
        <f t="shared" si="64"/>
        <v>0</v>
      </c>
      <c r="H89" s="83">
        <f t="shared" si="64"/>
        <v>0</v>
      </c>
    </row>
    <row r="90" spans="1:8">
      <c r="A90" s="75" t="s">
        <v>13</v>
      </c>
      <c r="B90" s="83">
        <f t="shared" si="64"/>
        <v>0</v>
      </c>
      <c r="C90" s="83">
        <f t="shared" si="64"/>
        <v>0</v>
      </c>
      <c r="D90" s="83">
        <f t="shared" si="64"/>
        <v>0</v>
      </c>
      <c r="E90" s="83">
        <f t="shared" si="64"/>
        <v>0</v>
      </c>
      <c r="F90" s="83">
        <f t="shared" si="64"/>
        <v>0</v>
      </c>
      <c r="G90" s="83">
        <f t="shared" si="64"/>
        <v>0</v>
      </c>
      <c r="H90" s="83">
        <f t="shared" si="64"/>
        <v>0</v>
      </c>
    </row>
    <row r="91" spans="1:8">
      <c r="A91" s="92" t="s">
        <v>14</v>
      </c>
      <c r="B91" s="83">
        <f t="shared" si="64"/>
        <v>0</v>
      </c>
      <c r="C91" s="83">
        <f t="shared" si="64"/>
        <v>0</v>
      </c>
      <c r="D91" s="83">
        <f t="shared" si="64"/>
        <v>0</v>
      </c>
      <c r="E91" s="83">
        <f t="shared" si="64"/>
        <v>0</v>
      </c>
      <c r="F91" s="83">
        <f t="shared" si="64"/>
        <v>0</v>
      </c>
      <c r="G91" s="83">
        <f t="shared" si="64"/>
        <v>0</v>
      </c>
      <c r="H91" s="83">
        <f t="shared" si="64"/>
        <v>0</v>
      </c>
    </row>
    <row r="92" spans="1:8">
      <c r="A92" s="75" t="s">
        <v>15</v>
      </c>
      <c r="B92" s="83">
        <f t="shared" si="64"/>
        <v>0</v>
      </c>
      <c r="C92" s="83">
        <f t="shared" si="64"/>
        <v>0</v>
      </c>
      <c r="D92" s="83">
        <f t="shared" si="64"/>
        <v>0</v>
      </c>
      <c r="E92" s="83">
        <f t="shared" si="64"/>
        <v>0</v>
      </c>
      <c r="F92" s="83">
        <f t="shared" si="64"/>
        <v>0</v>
      </c>
      <c r="G92" s="83">
        <f t="shared" si="64"/>
        <v>0</v>
      </c>
      <c r="H92" s="83">
        <f t="shared" si="64"/>
        <v>0</v>
      </c>
    </row>
    <row r="93" spans="1:8">
      <c r="A93" s="87" t="s">
        <v>16</v>
      </c>
      <c r="B93" s="83">
        <f t="shared" si="64"/>
        <v>0</v>
      </c>
      <c r="C93" s="83">
        <f t="shared" si="64"/>
        <v>0</v>
      </c>
      <c r="D93" s="83">
        <f t="shared" si="64"/>
        <v>0</v>
      </c>
      <c r="E93" s="83">
        <f t="shared" si="64"/>
        <v>0</v>
      </c>
      <c r="F93" s="83">
        <f t="shared" si="64"/>
        <v>0</v>
      </c>
      <c r="G93" s="83">
        <f t="shared" si="64"/>
        <v>0</v>
      </c>
      <c r="H93" s="83">
        <f t="shared" si="64"/>
        <v>0</v>
      </c>
    </row>
    <row r="94" spans="1:8">
      <c r="A94" s="75" t="s">
        <v>40</v>
      </c>
      <c r="B94" s="83">
        <f t="shared" si="64"/>
        <v>0</v>
      </c>
      <c r="C94" s="83">
        <f t="shared" si="64"/>
        <v>0</v>
      </c>
      <c r="D94" s="83">
        <f t="shared" si="64"/>
        <v>0</v>
      </c>
      <c r="E94" s="83">
        <f t="shared" si="64"/>
        <v>0</v>
      </c>
      <c r="F94" s="83">
        <f t="shared" si="64"/>
        <v>0</v>
      </c>
      <c r="G94" s="83">
        <f t="shared" si="64"/>
        <v>0</v>
      </c>
      <c r="H94" s="83">
        <f t="shared" si="64"/>
        <v>0</v>
      </c>
    </row>
    <row r="95" spans="1:8">
      <c r="A95" s="92" t="s">
        <v>50</v>
      </c>
      <c r="B95" s="83">
        <f t="shared" si="64"/>
        <v>0</v>
      </c>
      <c r="C95" s="83">
        <f t="shared" si="64"/>
        <v>0</v>
      </c>
      <c r="D95" s="83">
        <f t="shared" si="64"/>
        <v>0</v>
      </c>
      <c r="E95" s="83">
        <f t="shared" si="64"/>
        <v>0</v>
      </c>
      <c r="F95" s="83">
        <f t="shared" si="64"/>
        <v>0</v>
      </c>
      <c r="G95" s="83">
        <f t="shared" si="64"/>
        <v>0</v>
      </c>
      <c r="H95" s="83">
        <f t="shared" si="64"/>
        <v>0</v>
      </c>
    </row>
    <row r="96" spans="1:8">
      <c r="A96" s="75" t="s">
        <v>44</v>
      </c>
      <c r="B96" s="83">
        <f t="shared" si="64"/>
        <v>0</v>
      </c>
      <c r="C96" s="83">
        <f t="shared" si="64"/>
        <v>0</v>
      </c>
      <c r="D96" s="83">
        <f t="shared" si="64"/>
        <v>0</v>
      </c>
      <c r="E96" s="83">
        <f t="shared" si="64"/>
        <v>0</v>
      </c>
      <c r="F96" s="83">
        <f t="shared" si="64"/>
        <v>0</v>
      </c>
      <c r="G96" s="83">
        <f t="shared" si="64"/>
        <v>0</v>
      </c>
      <c r="H96" s="83">
        <f t="shared" si="64"/>
        <v>0</v>
      </c>
    </row>
    <row r="97" spans="1:8">
      <c r="A97" s="75" t="s">
        <v>21</v>
      </c>
      <c r="B97" s="83">
        <f t="shared" si="64"/>
        <v>0</v>
      </c>
      <c r="C97" s="83">
        <f t="shared" si="64"/>
        <v>0</v>
      </c>
      <c r="D97" s="83">
        <f t="shared" si="64"/>
        <v>0</v>
      </c>
      <c r="E97" s="83">
        <f t="shared" si="64"/>
        <v>0</v>
      </c>
      <c r="F97" s="83">
        <f t="shared" si="64"/>
        <v>0</v>
      </c>
      <c r="G97" s="83">
        <f t="shared" si="64"/>
        <v>0</v>
      </c>
      <c r="H97" s="83">
        <f t="shared" si="64"/>
        <v>0</v>
      </c>
    </row>
    <row r="98" spans="1:8">
      <c r="A98" s="75" t="s">
        <v>51</v>
      </c>
      <c r="B98" s="83">
        <f t="shared" si="64"/>
        <v>0</v>
      </c>
      <c r="C98" s="83">
        <f t="shared" si="64"/>
        <v>0</v>
      </c>
      <c r="D98" s="83">
        <f t="shared" si="64"/>
        <v>0</v>
      </c>
      <c r="E98" s="83">
        <f t="shared" si="64"/>
        <v>0</v>
      </c>
      <c r="F98" s="83">
        <f t="shared" si="64"/>
        <v>0</v>
      </c>
      <c r="G98" s="83">
        <f t="shared" si="64"/>
        <v>0</v>
      </c>
      <c r="H98" s="83">
        <f t="shared" si="64"/>
        <v>0</v>
      </c>
    </row>
    <row r="99" spans="1:8">
      <c r="A99" s="75" t="s">
        <v>12</v>
      </c>
      <c r="B99" s="83" t="e">
        <f t="shared" ref="B99:H114" si="65">B25-B62</f>
        <v>#DIV/0!</v>
      </c>
      <c r="C99" s="83" t="e">
        <f t="shared" si="65"/>
        <v>#DIV/0!</v>
      </c>
      <c r="D99" s="83" t="e">
        <f t="shared" si="65"/>
        <v>#DIV/0!</v>
      </c>
      <c r="E99" s="83" t="e">
        <f t="shared" si="65"/>
        <v>#DIV/0!</v>
      </c>
      <c r="F99" s="83" t="e">
        <f t="shared" si="65"/>
        <v>#DIV/0!</v>
      </c>
      <c r="G99" s="83" t="e">
        <f t="shared" si="65"/>
        <v>#DIV/0!</v>
      </c>
      <c r="H99" s="83" t="e">
        <f t="shared" si="65"/>
        <v>#DIV/0!</v>
      </c>
    </row>
    <row r="100" spans="1:8">
      <c r="A100" s="75" t="s">
        <v>23</v>
      </c>
      <c r="B100" s="83">
        <f t="shared" si="65"/>
        <v>0</v>
      </c>
      <c r="C100" s="83">
        <f t="shared" si="65"/>
        <v>0</v>
      </c>
      <c r="D100" s="83">
        <f t="shared" si="65"/>
        <v>0</v>
      </c>
      <c r="E100" s="83">
        <f t="shared" si="65"/>
        <v>0</v>
      </c>
      <c r="F100" s="83">
        <f t="shared" si="65"/>
        <v>0</v>
      </c>
      <c r="G100" s="83">
        <f t="shared" si="65"/>
        <v>0</v>
      </c>
      <c r="H100" s="83">
        <f t="shared" si="65"/>
        <v>0</v>
      </c>
    </row>
    <row r="101" spans="1:8">
      <c r="A101" s="75" t="s">
        <v>45</v>
      </c>
      <c r="B101" s="83">
        <f t="shared" si="65"/>
        <v>0</v>
      </c>
      <c r="C101" s="83">
        <f t="shared" si="65"/>
        <v>0</v>
      </c>
      <c r="D101" s="83">
        <f t="shared" si="65"/>
        <v>0</v>
      </c>
      <c r="E101" s="83">
        <f t="shared" si="65"/>
        <v>0</v>
      </c>
      <c r="F101" s="83">
        <f t="shared" si="65"/>
        <v>0</v>
      </c>
      <c r="G101" s="83">
        <f t="shared" si="65"/>
        <v>0</v>
      </c>
      <c r="H101" s="83">
        <f t="shared" si="65"/>
        <v>0</v>
      </c>
    </row>
    <row r="102" spans="1:8">
      <c r="A102" s="75" t="s">
        <v>12</v>
      </c>
      <c r="B102" s="83">
        <f t="shared" si="65"/>
        <v>0</v>
      </c>
      <c r="C102" s="83">
        <f t="shared" si="65"/>
        <v>0</v>
      </c>
      <c r="D102" s="83">
        <f t="shared" si="65"/>
        <v>0</v>
      </c>
      <c r="E102" s="83">
        <f t="shared" si="65"/>
        <v>0</v>
      </c>
      <c r="F102" s="83">
        <f t="shared" si="65"/>
        <v>0</v>
      </c>
      <c r="G102" s="83">
        <f t="shared" si="65"/>
        <v>0</v>
      </c>
      <c r="H102" s="83">
        <f t="shared" si="65"/>
        <v>0</v>
      </c>
    </row>
    <row r="103" spans="1:8">
      <c r="A103" s="75" t="s">
        <v>25</v>
      </c>
      <c r="B103" s="83">
        <f t="shared" si="65"/>
        <v>0</v>
      </c>
      <c r="C103" s="83">
        <f t="shared" si="65"/>
        <v>0</v>
      </c>
      <c r="D103" s="83">
        <f t="shared" si="65"/>
        <v>0</v>
      </c>
      <c r="E103" s="83">
        <f t="shared" si="65"/>
        <v>0</v>
      </c>
      <c r="F103" s="83">
        <f t="shared" si="65"/>
        <v>0</v>
      </c>
      <c r="G103" s="83">
        <f t="shared" si="65"/>
        <v>0</v>
      </c>
      <c r="H103" s="83">
        <f t="shared" si="65"/>
        <v>0</v>
      </c>
    </row>
    <row r="104" spans="1:8">
      <c r="A104" s="75" t="s">
        <v>46</v>
      </c>
      <c r="B104" s="83">
        <f t="shared" si="65"/>
        <v>0</v>
      </c>
      <c r="C104" s="83">
        <f t="shared" si="65"/>
        <v>0</v>
      </c>
      <c r="D104" s="83">
        <f t="shared" si="65"/>
        <v>0</v>
      </c>
      <c r="E104" s="83">
        <f t="shared" si="65"/>
        <v>0</v>
      </c>
      <c r="F104" s="83">
        <f t="shared" si="65"/>
        <v>0</v>
      </c>
      <c r="G104" s="83">
        <f t="shared" si="65"/>
        <v>0</v>
      </c>
      <c r="H104" s="83">
        <f t="shared" si="65"/>
        <v>0</v>
      </c>
    </row>
    <row r="105" spans="1:8">
      <c r="A105" s="75" t="s">
        <v>12</v>
      </c>
      <c r="B105" s="83">
        <f t="shared" si="65"/>
        <v>0</v>
      </c>
      <c r="C105" s="83">
        <f t="shared" si="65"/>
        <v>0</v>
      </c>
      <c r="D105" s="83">
        <f t="shared" si="65"/>
        <v>0</v>
      </c>
      <c r="E105" s="83">
        <f t="shared" si="65"/>
        <v>0</v>
      </c>
      <c r="F105" s="83">
        <f t="shared" si="65"/>
        <v>0</v>
      </c>
      <c r="G105" s="83">
        <f t="shared" si="65"/>
        <v>0</v>
      </c>
      <c r="H105" s="83">
        <f t="shared" si="65"/>
        <v>0</v>
      </c>
    </row>
    <row r="106" spans="1:8">
      <c r="A106" s="75" t="s">
        <v>27</v>
      </c>
      <c r="B106" s="83">
        <f t="shared" si="65"/>
        <v>0</v>
      </c>
      <c r="C106" s="83">
        <f t="shared" si="65"/>
        <v>0</v>
      </c>
      <c r="D106" s="83">
        <f t="shared" si="65"/>
        <v>0</v>
      </c>
      <c r="E106" s="83">
        <f t="shared" si="65"/>
        <v>0</v>
      </c>
      <c r="F106" s="83">
        <f t="shared" si="65"/>
        <v>0</v>
      </c>
      <c r="G106" s="83">
        <f t="shared" si="65"/>
        <v>0</v>
      </c>
      <c r="H106" s="83">
        <f t="shared" si="65"/>
        <v>0</v>
      </c>
    </row>
    <row r="107" spans="1:8">
      <c r="A107" s="75" t="s">
        <v>47</v>
      </c>
      <c r="B107" s="83">
        <f t="shared" si="65"/>
        <v>0</v>
      </c>
      <c r="C107" s="83">
        <f t="shared" si="65"/>
        <v>0</v>
      </c>
      <c r="D107" s="83">
        <f t="shared" si="65"/>
        <v>0</v>
      </c>
      <c r="E107" s="83">
        <f t="shared" si="65"/>
        <v>0</v>
      </c>
      <c r="F107" s="83">
        <f t="shared" si="65"/>
        <v>0</v>
      </c>
      <c r="G107" s="83">
        <f t="shared" si="65"/>
        <v>0</v>
      </c>
      <c r="H107" s="83">
        <f t="shared" si="65"/>
        <v>0</v>
      </c>
    </row>
    <row r="108" spans="1:8">
      <c r="A108" s="75" t="s">
        <v>12</v>
      </c>
      <c r="B108" s="83">
        <f t="shared" si="65"/>
        <v>0</v>
      </c>
      <c r="C108" s="83">
        <f t="shared" si="65"/>
        <v>0</v>
      </c>
      <c r="D108" s="83">
        <f t="shared" si="65"/>
        <v>0</v>
      </c>
      <c r="E108" s="83">
        <f t="shared" si="65"/>
        <v>0</v>
      </c>
      <c r="F108" s="83">
        <f t="shared" si="65"/>
        <v>0</v>
      </c>
      <c r="G108" s="83">
        <f t="shared" si="65"/>
        <v>0</v>
      </c>
      <c r="H108" s="83">
        <f t="shared" si="65"/>
        <v>0</v>
      </c>
    </row>
    <row r="109" spans="1:8">
      <c r="A109" s="75" t="s">
        <v>29</v>
      </c>
      <c r="B109" s="83">
        <f t="shared" si="65"/>
        <v>0</v>
      </c>
      <c r="C109" s="83">
        <f t="shared" si="65"/>
        <v>0</v>
      </c>
      <c r="D109" s="83">
        <f t="shared" si="65"/>
        <v>0</v>
      </c>
      <c r="E109" s="83">
        <f t="shared" si="65"/>
        <v>0</v>
      </c>
      <c r="F109" s="83">
        <f t="shared" si="65"/>
        <v>0</v>
      </c>
      <c r="G109" s="83">
        <f t="shared" si="65"/>
        <v>0</v>
      </c>
      <c r="H109" s="83">
        <f t="shared" si="65"/>
        <v>0</v>
      </c>
    </row>
    <row r="110" spans="1:8">
      <c r="A110" s="75" t="s">
        <v>48</v>
      </c>
      <c r="B110" s="83">
        <f t="shared" si="65"/>
        <v>0</v>
      </c>
      <c r="C110" s="83">
        <f t="shared" si="65"/>
        <v>0</v>
      </c>
      <c r="D110" s="83">
        <f t="shared" si="65"/>
        <v>0</v>
      </c>
      <c r="E110" s="83">
        <f t="shared" si="65"/>
        <v>0</v>
      </c>
      <c r="F110" s="83">
        <f t="shared" si="65"/>
        <v>0</v>
      </c>
      <c r="G110" s="83">
        <f t="shared" si="65"/>
        <v>0</v>
      </c>
      <c r="H110" s="83">
        <f t="shared" si="65"/>
        <v>0</v>
      </c>
    </row>
    <row r="111" spans="1:8">
      <c r="A111" s="75" t="s">
        <v>12</v>
      </c>
      <c r="B111" s="83">
        <f t="shared" si="65"/>
        <v>0</v>
      </c>
      <c r="C111" s="83">
        <f t="shared" si="65"/>
        <v>0</v>
      </c>
      <c r="D111" s="83">
        <f t="shared" si="65"/>
        <v>0</v>
      </c>
      <c r="E111" s="83">
        <f t="shared" si="65"/>
        <v>0</v>
      </c>
      <c r="F111" s="83">
        <f t="shared" si="65"/>
        <v>0</v>
      </c>
      <c r="G111" s="83">
        <f t="shared" si="65"/>
        <v>0</v>
      </c>
      <c r="H111" s="83">
        <f t="shared" si="65"/>
        <v>0</v>
      </c>
    </row>
    <row r="112" spans="1:8">
      <c r="A112" s="75" t="s">
        <v>31</v>
      </c>
      <c r="B112" s="83">
        <f t="shared" si="65"/>
        <v>0</v>
      </c>
      <c r="C112" s="83">
        <f t="shared" si="65"/>
        <v>0</v>
      </c>
      <c r="D112" s="83">
        <f t="shared" si="65"/>
        <v>0</v>
      </c>
      <c r="E112" s="83">
        <f t="shared" si="65"/>
        <v>0</v>
      </c>
      <c r="F112" s="83">
        <f t="shared" si="65"/>
        <v>0</v>
      </c>
      <c r="G112" s="83">
        <f t="shared" si="65"/>
        <v>0</v>
      </c>
      <c r="H112" s="83">
        <f t="shared" si="65"/>
        <v>0</v>
      </c>
    </row>
    <row r="113" spans="1:8">
      <c r="A113" s="75" t="s">
        <v>52</v>
      </c>
      <c r="B113" s="83">
        <f t="shared" si="65"/>
        <v>0</v>
      </c>
      <c r="C113" s="83">
        <f t="shared" si="65"/>
        <v>0</v>
      </c>
      <c r="D113" s="83">
        <f>D39-D76</f>
        <v>0</v>
      </c>
      <c r="E113" s="83">
        <f t="shared" si="65"/>
        <v>0</v>
      </c>
      <c r="F113" s="83">
        <f t="shared" si="65"/>
        <v>0</v>
      </c>
      <c r="G113" s="83">
        <f t="shared" si="65"/>
        <v>0</v>
      </c>
      <c r="H113" s="83">
        <f t="shared" si="65"/>
        <v>0</v>
      </c>
    </row>
    <row r="114" spans="1:8">
      <c r="A114" s="75" t="s">
        <v>12</v>
      </c>
      <c r="B114" s="83">
        <f t="shared" si="65"/>
        <v>0</v>
      </c>
      <c r="C114" s="83">
        <f t="shared" si="65"/>
        <v>0</v>
      </c>
      <c r="D114" s="83">
        <f t="shared" si="65"/>
        <v>0</v>
      </c>
      <c r="E114" s="83">
        <f t="shared" si="65"/>
        <v>0</v>
      </c>
      <c r="F114" s="83">
        <f t="shared" si="65"/>
        <v>0</v>
      </c>
      <c r="G114" s="83">
        <f t="shared" si="65"/>
        <v>0</v>
      </c>
      <c r="H114" s="83">
        <f t="shared" si="65"/>
        <v>0</v>
      </c>
    </row>
  </sheetData>
  <mergeCells count="18">
    <mergeCell ref="A1:H1"/>
    <mergeCell ref="A8:H8"/>
    <mergeCell ref="J8:Q8"/>
    <mergeCell ref="R8:Y8"/>
    <mergeCell ref="A3:H3"/>
    <mergeCell ref="E2:H2"/>
    <mergeCell ref="AJ8:AQ8"/>
    <mergeCell ref="A12:H12"/>
    <mergeCell ref="J12:Q12"/>
    <mergeCell ref="R12:Y12"/>
    <mergeCell ref="AA12:AH12"/>
    <mergeCell ref="AJ12:AQ12"/>
    <mergeCell ref="AA8:AH8"/>
    <mergeCell ref="A19:H19"/>
    <mergeCell ref="J19:Q19"/>
    <mergeCell ref="R19:Y19"/>
    <mergeCell ref="AA19:AH19"/>
    <mergeCell ref="AJ19:AQ19"/>
  </mergeCells>
  <phoneticPr fontId="17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5"/>
  <dimension ref="A1:BC114"/>
  <sheetViews>
    <sheetView zoomScale="70" zoomScaleNormal="70" workbookViewId="0">
      <selection activeCell="R35" sqref="R35"/>
    </sheetView>
  </sheetViews>
  <sheetFormatPr defaultRowHeight="13.2"/>
  <cols>
    <col min="1" max="1" width="15.33203125" customWidth="1"/>
    <col min="2" max="2" width="11.5546875" customWidth="1"/>
    <col min="3" max="3" width="7.6640625" customWidth="1"/>
    <col min="4" max="5" width="6.88671875" customWidth="1"/>
    <col min="6" max="6" width="7.109375" customWidth="1"/>
    <col min="7" max="7" width="7.6640625" customWidth="1"/>
    <col min="8" max="8" width="8" customWidth="1"/>
    <col min="9" max="9" width="3.88671875" customWidth="1"/>
    <col min="10" max="10" width="15.5546875" customWidth="1"/>
    <col min="14" max="14" width="7.5546875" customWidth="1"/>
    <col min="15" max="15" width="7.6640625" customWidth="1"/>
    <col min="16" max="16" width="8" customWidth="1"/>
    <col min="17" max="17" width="7.33203125" customWidth="1"/>
    <col min="18" max="18" width="7.109375" customWidth="1"/>
    <col min="19" max="19" width="8.5546875" customWidth="1"/>
    <col min="21" max="21" width="7.109375" customWidth="1"/>
    <col min="22" max="22" width="7.5546875" customWidth="1"/>
    <col min="24" max="24" width="7.109375" customWidth="1"/>
    <col min="25" max="25" width="7.6640625" customWidth="1"/>
    <col min="26" max="26" width="10.6640625" customWidth="1"/>
    <col min="27" max="27" width="7.6640625" customWidth="1"/>
    <col min="30" max="30" width="7.33203125" customWidth="1"/>
    <col min="31" max="31" width="8" customWidth="1"/>
    <col min="32" max="32" width="7.6640625" customWidth="1"/>
    <col min="33" max="33" width="7.33203125" customWidth="1"/>
  </cols>
  <sheetData>
    <row r="1" spans="1:55" s="37" customFormat="1" ht="15.6">
      <c r="Q1" s="38" t="s">
        <v>33</v>
      </c>
    </row>
    <row r="2" spans="1:55" s="12" customFormat="1" ht="15.75" customHeight="1">
      <c r="H2" s="39" t="s">
        <v>34</v>
      </c>
    </row>
    <row r="3" spans="1:55" s="12" customFormat="1" ht="18.75" customHeight="1">
      <c r="H3" s="39" t="s">
        <v>39</v>
      </c>
    </row>
    <row r="4" spans="1:55" s="37" customFormat="1" ht="35.25" customHeight="1">
      <c r="A4" s="494" t="s">
        <v>96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55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467" t="s">
        <v>17</v>
      </c>
      <c r="B8" s="468"/>
      <c r="C8" s="468"/>
      <c r="D8" s="468"/>
      <c r="E8" s="468"/>
      <c r="F8" s="468"/>
      <c r="G8" s="468"/>
      <c r="H8" s="469"/>
      <c r="J8" s="467" t="s">
        <v>17</v>
      </c>
      <c r="K8" s="468"/>
      <c r="L8" s="468"/>
      <c r="M8" s="468"/>
      <c r="N8" s="468"/>
      <c r="O8" s="468"/>
      <c r="P8" s="468"/>
      <c r="Q8" s="469"/>
      <c r="R8" s="467" t="s">
        <v>17</v>
      </c>
      <c r="S8" s="468"/>
      <c r="T8" s="468"/>
      <c r="U8" s="468"/>
      <c r="V8" s="468"/>
      <c r="W8" s="468"/>
      <c r="X8" s="468"/>
      <c r="Y8" s="469"/>
      <c r="AA8" s="467" t="s">
        <v>17</v>
      </c>
      <c r="AB8" s="468"/>
      <c r="AC8" s="468"/>
      <c r="AD8" s="468"/>
      <c r="AE8" s="468"/>
      <c r="AF8" s="468"/>
      <c r="AG8" s="468"/>
      <c r="AH8" s="469"/>
      <c r="AJ8" s="467" t="s">
        <v>17</v>
      </c>
      <c r="AK8" s="468"/>
      <c r="AL8" s="468"/>
      <c r="AM8" s="468"/>
      <c r="AN8" s="468"/>
      <c r="AO8" s="468"/>
      <c r="AP8" s="468"/>
      <c r="AQ8" s="469"/>
    </row>
    <row r="9" spans="1:55" s="115" customFormat="1">
      <c r="A9" s="33" t="s">
        <v>18</v>
      </c>
      <c r="B9" s="43">
        <f t="shared" ref="B9:H10" si="0">+K9+S9+AK9</f>
        <v>391.59999999999997</v>
      </c>
      <c r="C9" s="43">
        <f t="shared" si="0"/>
        <v>34602</v>
      </c>
      <c r="D9" s="23">
        <f t="shared" si="0"/>
        <v>31199</v>
      </c>
      <c r="E9" s="43">
        <f t="shared" si="0"/>
        <v>8982</v>
      </c>
      <c r="F9" s="43">
        <f t="shared" si="0"/>
        <v>8805</v>
      </c>
      <c r="G9" s="43">
        <f t="shared" si="0"/>
        <v>3685</v>
      </c>
      <c r="H9" s="43">
        <f t="shared" si="0"/>
        <v>9727</v>
      </c>
      <c r="J9" s="33" t="s">
        <v>18</v>
      </c>
      <c r="K9" s="42">
        <f>K13+K20</f>
        <v>103.4</v>
      </c>
      <c r="L9" s="36">
        <f>L13+L20</f>
        <v>2962</v>
      </c>
      <c r="M9" s="23">
        <f>N9+O9+P9+Q9</f>
        <v>2301</v>
      </c>
      <c r="N9" s="36">
        <f t="shared" ref="N9:Q10" si="1">N13+N20</f>
        <v>80</v>
      </c>
      <c r="O9" s="36">
        <f t="shared" si="1"/>
        <v>640</v>
      </c>
      <c r="P9" s="36">
        <f t="shared" si="1"/>
        <v>493</v>
      </c>
      <c r="Q9" s="36">
        <f t="shared" si="1"/>
        <v>1088</v>
      </c>
      <c r="R9" s="33" t="s">
        <v>18</v>
      </c>
      <c r="S9" s="42">
        <f>S13+S20</f>
        <v>276.5</v>
      </c>
      <c r="T9" s="36">
        <f>T13+T20</f>
        <v>30324</v>
      </c>
      <c r="U9" s="23">
        <f>V9+W9+X9+Y9</f>
        <v>27763</v>
      </c>
      <c r="V9" s="36">
        <f t="shared" ref="V9:Y10" si="2">V13+V20</f>
        <v>8790</v>
      </c>
      <c r="W9" s="36">
        <f t="shared" si="2"/>
        <v>7887</v>
      </c>
      <c r="X9" s="36">
        <f t="shared" si="2"/>
        <v>3015</v>
      </c>
      <c r="Y9" s="36">
        <f t="shared" si="2"/>
        <v>8071</v>
      </c>
      <c r="AA9" s="33" t="s">
        <v>18</v>
      </c>
      <c r="AB9" s="42">
        <f>AB13+AB20</f>
        <v>125.7</v>
      </c>
      <c r="AC9" s="36">
        <f>AC13+AC20</f>
        <v>19450</v>
      </c>
      <c r="AD9" s="23">
        <f>AE9+AF9+AG9+AH9</f>
        <v>18073</v>
      </c>
      <c r="AE9" s="36">
        <f t="shared" ref="AE9:AH10" si="3">AE13+AE20</f>
        <v>8202</v>
      </c>
      <c r="AF9" s="36">
        <f t="shared" si="3"/>
        <v>4767</v>
      </c>
      <c r="AG9" s="36">
        <f t="shared" si="3"/>
        <v>1497</v>
      </c>
      <c r="AH9" s="36">
        <f t="shared" si="3"/>
        <v>3607</v>
      </c>
      <c r="AJ9" s="33" t="s">
        <v>18</v>
      </c>
      <c r="AK9" s="42">
        <f>AK13+AK20</f>
        <v>11.7</v>
      </c>
      <c r="AL9" s="36">
        <f t="shared" ref="AL9:AQ10" si="4">AL13+AL20</f>
        <v>1316</v>
      </c>
      <c r="AM9" s="23">
        <f>AN9+AO9+AP9+AQ9</f>
        <v>1135</v>
      </c>
      <c r="AN9" s="36">
        <f t="shared" si="4"/>
        <v>112</v>
      </c>
      <c r="AO9" s="36">
        <f t="shared" si="4"/>
        <v>278</v>
      </c>
      <c r="AP9" s="36">
        <f t="shared" si="4"/>
        <v>177</v>
      </c>
      <c r="AQ9" s="36">
        <f t="shared" si="4"/>
        <v>568</v>
      </c>
    </row>
    <row r="10" spans="1:55" s="115" customFormat="1">
      <c r="A10" s="7" t="s">
        <v>19</v>
      </c>
      <c r="B10" s="22">
        <f t="shared" si="0"/>
        <v>340.6</v>
      </c>
      <c r="C10" s="43">
        <f t="shared" si="0"/>
        <v>33225</v>
      </c>
      <c r="D10" s="43">
        <f t="shared" si="0"/>
        <v>31210</v>
      </c>
      <c r="E10" s="43">
        <f t="shared" si="0"/>
        <v>10879</v>
      </c>
      <c r="F10" s="43">
        <f t="shared" si="0"/>
        <v>5992</v>
      </c>
      <c r="G10" s="43">
        <f t="shared" si="0"/>
        <v>1119</v>
      </c>
      <c r="H10" s="43">
        <f t="shared" si="0"/>
        <v>13220</v>
      </c>
      <c r="J10" s="7" t="s">
        <v>19</v>
      </c>
      <c r="K10" s="42">
        <f>K14+K21</f>
        <v>119.9</v>
      </c>
      <c r="L10" s="33">
        <f>L14+L21</f>
        <v>5030</v>
      </c>
      <c r="M10" s="23">
        <f>N10+O10+P10+Q10</f>
        <v>4490</v>
      </c>
      <c r="N10" s="33">
        <f t="shared" si="1"/>
        <v>316</v>
      </c>
      <c r="O10" s="33">
        <f t="shared" si="1"/>
        <v>573</v>
      </c>
      <c r="P10" s="33">
        <f t="shared" si="1"/>
        <v>237</v>
      </c>
      <c r="Q10" s="33">
        <f t="shared" si="1"/>
        <v>3364</v>
      </c>
      <c r="R10" s="7" t="s">
        <v>19</v>
      </c>
      <c r="S10" s="128">
        <f>S14+S21</f>
        <v>207.3</v>
      </c>
      <c r="T10" s="33">
        <f>T14+T21</f>
        <v>26325</v>
      </c>
      <c r="U10" s="23">
        <f>V10+W10+X10+Y10</f>
        <v>24946</v>
      </c>
      <c r="V10" s="33">
        <f t="shared" si="2"/>
        <v>10099</v>
      </c>
      <c r="W10" s="33">
        <f t="shared" si="2"/>
        <v>5243</v>
      </c>
      <c r="X10" s="33">
        <f t="shared" si="2"/>
        <v>855</v>
      </c>
      <c r="Y10" s="33">
        <f t="shared" si="2"/>
        <v>8749</v>
      </c>
      <c r="AA10" s="7" t="s">
        <v>19</v>
      </c>
      <c r="AB10" s="42">
        <f>AB14+AB21</f>
        <v>116.69999999999999</v>
      </c>
      <c r="AC10" s="33">
        <f>AC14+AC21</f>
        <v>17565</v>
      </c>
      <c r="AD10" s="23">
        <f>AE10+AF10+AG10+AH10</f>
        <v>16652</v>
      </c>
      <c r="AE10" s="33">
        <f t="shared" si="3"/>
        <v>9976</v>
      </c>
      <c r="AF10" s="33">
        <f t="shared" si="3"/>
        <v>2449</v>
      </c>
      <c r="AG10" s="33">
        <f t="shared" si="3"/>
        <v>174</v>
      </c>
      <c r="AH10" s="33">
        <f t="shared" si="3"/>
        <v>4053</v>
      </c>
      <c r="AJ10" s="7" t="s">
        <v>19</v>
      </c>
      <c r="AK10" s="42">
        <f>AK14+AK21</f>
        <v>13.4</v>
      </c>
      <c r="AL10" s="33">
        <f t="shared" si="4"/>
        <v>1870</v>
      </c>
      <c r="AM10" s="23">
        <f>AN10+AO10+AP10+AQ10</f>
        <v>1774</v>
      </c>
      <c r="AN10" s="33">
        <f t="shared" si="4"/>
        <v>464</v>
      </c>
      <c r="AO10" s="33">
        <f t="shared" si="4"/>
        <v>176</v>
      </c>
      <c r="AP10" s="33">
        <f t="shared" si="4"/>
        <v>27</v>
      </c>
      <c r="AQ10" s="33">
        <f t="shared" si="4"/>
        <v>1107</v>
      </c>
    </row>
    <row r="11" spans="1:55" s="115" customFormat="1">
      <c r="A11" s="33" t="s">
        <v>20</v>
      </c>
      <c r="B11" s="23">
        <f t="shared" ref="B11:H11" si="5">+B10/B9*100</f>
        <v>86.976506639427996</v>
      </c>
      <c r="C11" s="23">
        <f t="shared" si="5"/>
        <v>96.020461245014744</v>
      </c>
      <c r="D11" s="23">
        <f t="shared" si="5"/>
        <v>100.03525754030578</v>
      </c>
      <c r="E11" s="23">
        <f t="shared" si="5"/>
        <v>121.12001781340457</v>
      </c>
      <c r="F11" s="23">
        <f t="shared" si="5"/>
        <v>68.052243043725156</v>
      </c>
      <c r="G11" s="23">
        <f t="shared" si="5"/>
        <v>30.366350067842607</v>
      </c>
      <c r="H11" s="23">
        <f t="shared" si="5"/>
        <v>135.91035262670917</v>
      </c>
      <c r="J11" s="33" t="s">
        <v>20</v>
      </c>
      <c r="K11" s="23">
        <f>+K10/K9*100</f>
        <v>115.95744680851064</v>
      </c>
      <c r="L11" s="23">
        <f t="shared" ref="L11:Q11" si="6">+L10/L9*100</f>
        <v>169.81769074949358</v>
      </c>
      <c r="M11" s="23">
        <f t="shared" si="6"/>
        <v>195.13255106475444</v>
      </c>
      <c r="N11" s="23">
        <f t="shared" si="6"/>
        <v>395</v>
      </c>
      <c r="O11" s="23">
        <f t="shared" si="6"/>
        <v>89.53125</v>
      </c>
      <c r="P11" s="23">
        <f t="shared" si="6"/>
        <v>48.073022312373226</v>
      </c>
      <c r="Q11" s="23">
        <f t="shared" si="6"/>
        <v>309.19117647058823</v>
      </c>
      <c r="R11" s="33" t="s">
        <v>20</v>
      </c>
      <c r="S11" s="23">
        <f t="shared" ref="S11:Y11" si="7">+S10/S9*100</f>
        <v>74.97287522603979</v>
      </c>
      <c r="T11" s="23">
        <f t="shared" si="7"/>
        <v>86.812425801345469</v>
      </c>
      <c r="U11" s="23">
        <f t="shared" si="7"/>
        <v>89.853402009869257</v>
      </c>
      <c r="V11" s="23">
        <f t="shared" si="7"/>
        <v>114.89192263936292</v>
      </c>
      <c r="W11" s="23">
        <f t="shared" si="7"/>
        <v>66.476480284011657</v>
      </c>
      <c r="X11" s="23">
        <f t="shared" si="7"/>
        <v>28.35820895522388</v>
      </c>
      <c r="Y11" s="23">
        <f t="shared" si="7"/>
        <v>108.40044604138272</v>
      </c>
      <c r="AA11" s="33" t="s">
        <v>20</v>
      </c>
      <c r="AB11" s="23">
        <f t="shared" ref="AB11:AH11" si="8">+AB10/AB9*100</f>
        <v>92.840095465393773</v>
      </c>
      <c r="AC11" s="23">
        <f t="shared" si="8"/>
        <v>90.308483290488425</v>
      </c>
      <c r="AD11" s="23">
        <f t="shared" si="8"/>
        <v>92.137442593924632</v>
      </c>
      <c r="AE11" s="23">
        <f t="shared" si="8"/>
        <v>121.62887100707145</v>
      </c>
      <c r="AF11" s="23">
        <f t="shared" si="8"/>
        <v>51.374029788126705</v>
      </c>
      <c r="AG11" s="23">
        <f t="shared" si="8"/>
        <v>11.623246492985972</v>
      </c>
      <c r="AH11" s="23">
        <f t="shared" si="8"/>
        <v>112.36484613252009</v>
      </c>
      <c r="AJ11" s="33" t="s">
        <v>20</v>
      </c>
      <c r="AK11" s="23">
        <f t="shared" ref="AK11:AQ11" si="9">+AK10/AK9*100</f>
        <v>114.52991452991455</v>
      </c>
      <c r="AL11" s="23">
        <f t="shared" si="9"/>
        <v>142.09726443768997</v>
      </c>
      <c r="AM11" s="23">
        <f t="shared" si="9"/>
        <v>156.29955947136565</v>
      </c>
      <c r="AN11" s="23">
        <f t="shared" si="9"/>
        <v>414.28571428571433</v>
      </c>
      <c r="AO11" s="23">
        <f t="shared" si="9"/>
        <v>63.309352517985609</v>
      </c>
      <c r="AP11" s="23">
        <f t="shared" si="9"/>
        <v>15.254237288135593</v>
      </c>
      <c r="AQ11" s="23">
        <f t="shared" si="9"/>
        <v>194.8943661971831</v>
      </c>
    </row>
    <row r="12" spans="1:55" s="376" customFormat="1" ht="12.75" customHeight="1">
      <c r="A12" s="461" t="s">
        <v>11</v>
      </c>
      <c r="B12" s="462"/>
      <c r="C12" s="462"/>
      <c r="D12" s="462"/>
      <c r="E12" s="462"/>
      <c r="F12" s="462"/>
      <c r="G12" s="462"/>
      <c r="H12" s="463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AA12" s="461" t="s">
        <v>11</v>
      </c>
      <c r="AB12" s="462"/>
      <c r="AC12" s="462"/>
      <c r="AD12" s="462"/>
      <c r="AE12" s="462"/>
      <c r="AF12" s="462"/>
      <c r="AG12" s="462"/>
      <c r="AH12" s="463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55" s="376" customFormat="1">
      <c r="A13" s="244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J13" s="244" t="s">
        <v>18</v>
      </c>
      <c r="K13" s="6">
        <v>7.5</v>
      </c>
      <c r="L13" s="6">
        <v>268</v>
      </c>
      <c r="M13" s="9">
        <f>N13+O13+P13+Q13</f>
        <v>194</v>
      </c>
      <c r="N13" s="6">
        <v>4</v>
      </c>
      <c r="O13" s="6">
        <v>72</v>
      </c>
      <c r="P13" s="6">
        <v>52</v>
      </c>
      <c r="Q13" s="6">
        <v>66</v>
      </c>
      <c r="R13" s="244" t="s">
        <v>18</v>
      </c>
      <c r="S13" s="6">
        <v>0.5</v>
      </c>
      <c r="T13" s="6">
        <v>62</v>
      </c>
      <c r="U13" s="9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AA13" s="244" t="s">
        <v>18</v>
      </c>
      <c r="AB13" s="6">
        <v>0.5</v>
      </c>
      <c r="AC13" s="6">
        <v>62</v>
      </c>
      <c r="AD13" s="9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J13" s="244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376" customFormat="1">
      <c r="A14" s="18" t="s">
        <v>19</v>
      </c>
      <c r="B14" s="6">
        <f t="shared" si="10"/>
        <v>6.9</v>
      </c>
      <c r="C14" s="6">
        <f t="shared" si="10"/>
        <v>350</v>
      </c>
      <c r="D14" s="6">
        <f t="shared" si="10"/>
        <v>297</v>
      </c>
      <c r="E14" s="6">
        <f t="shared" si="10"/>
        <v>1</v>
      </c>
      <c r="F14" s="6">
        <f t="shared" si="10"/>
        <v>4</v>
      </c>
      <c r="G14" s="6">
        <f t="shared" si="10"/>
        <v>0</v>
      </c>
      <c r="H14" s="6">
        <f t="shared" si="10"/>
        <v>292</v>
      </c>
      <c r="J14" s="18" t="s">
        <v>19</v>
      </c>
      <c r="K14" s="6">
        <v>6.9</v>
      </c>
      <c r="L14" s="6">
        <v>350</v>
      </c>
      <c r="M14" s="9">
        <f>N14+O14+P14+Q14</f>
        <v>297</v>
      </c>
      <c r="N14" s="6">
        <v>1</v>
      </c>
      <c r="O14" s="6">
        <v>4</v>
      </c>
      <c r="P14" s="6">
        <v>0</v>
      </c>
      <c r="Q14" s="6">
        <v>292</v>
      </c>
      <c r="R14" s="18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AA14" s="18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J14" s="18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376" customFormat="1">
      <c r="A15" s="244" t="s">
        <v>20</v>
      </c>
      <c r="B15" s="26">
        <f t="shared" ref="B15:H15" si="11">+B14/B13*100</f>
        <v>86.25</v>
      </c>
      <c r="C15" s="26">
        <f t="shared" si="11"/>
        <v>106.06060606060606</v>
      </c>
      <c r="D15" s="26">
        <f t="shared" si="11"/>
        <v>120.24291497975707</v>
      </c>
      <c r="E15" s="26">
        <f t="shared" si="11"/>
        <v>6.25</v>
      </c>
      <c r="F15" s="26">
        <f t="shared" si="11"/>
        <v>4.1237113402061851</v>
      </c>
      <c r="G15" s="26">
        <f t="shared" si="11"/>
        <v>0</v>
      </c>
      <c r="H15" s="26">
        <f t="shared" si="11"/>
        <v>389.33333333333337</v>
      </c>
      <c r="J15" s="244" t="s">
        <v>20</v>
      </c>
      <c r="K15" s="26">
        <f t="shared" ref="K15:Q15" si="12">+K14/K13*100</f>
        <v>92</v>
      </c>
      <c r="L15" s="26">
        <f t="shared" si="12"/>
        <v>130.59701492537314</v>
      </c>
      <c r="M15" s="26">
        <f t="shared" si="12"/>
        <v>153.09278350515461</v>
      </c>
      <c r="N15" s="26">
        <f t="shared" si="12"/>
        <v>25</v>
      </c>
      <c r="O15" s="26">
        <f t="shared" si="12"/>
        <v>5.5555555555555554</v>
      </c>
      <c r="P15" s="26">
        <f t="shared" si="12"/>
        <v>0</v>
      </c>
      <c r="Q15" s="26">
        <f t="shared" si="12"/>
        <v>442.42424242424238</v>
      </c>
      <c r="R15" s="244" t="s">
        <v>20</v>
      </c>
      <c r="S15" s="26">
        <f t="shared" ref="S15:Y15" si="13">+S14/S13*100</f>
        <v>0</v>
      </c>
      <c r="T15" s="26">
        <f t="shared" si="13"/>
        <v>0</v>
      </c>
      <c r="U15" s="26">
        <f t="shared" si="13"/>
        <v>0</v>
      </c>
      <c r="V15" s="26">
        <f t="shared" si="13"/>
        <v>0</v>
      </c>
      <c r="W15" s="26">
        <f t="shared" si="13"/>
        <v>0</v>
      </c>
      <c r="X15" s="26">
        <f t="shared" si="13"/>
        <v>0</v>
      </c>
      <c r="Y15" s="26">
        <f t="shared" si="13"/>
        <v>0</v>
      </c>
      <c r="AA15" s="244" t="s">
        <v>20</v>
      </c>
      <c r="AB15" s="26">
        <f t="shared" ref="AB15:AH15" si="14">+AB14/AB13*100</f>
        <v>0</v>
      </c>
      <c r="AC15" s="26">
        <f t="shared" si="14"/>
        <v>0</v>
      </c>
      <c r="AD15" s="26">
        <f t="shared" si="14"/>
        <v>0</v>
      </c>
      <c r="AE15" s="26">
        <f t="shared" si="14"/>
        <v>0</v>
      </c>
      <c r="AF15" s="26">
        <f t="shared" si="14"/>
        <v>0</v>
      </c>
      <c r="AG15" s="26">
        <f t="shared" si="14"/>
        <v>0</v>
      </c>
      <c r="AH15" s="26">
        <f t="shared" si="14"/>
        <v>0</v>
      </c>
      <c r="AJ15" s="244" t="s">
        <v>20</v>
      </c>
      <c r="AK15" s="26" t="e">
        <f t="shared" ref="AK15:AQ15" si="15">+AK14/AK13*100</f>
        <v>#DIV/0!</v>
      </c>
      <c r="AL15" s="26" t="e">
        <f t="shared" si="15"/>
        <v>#DIV/0!</v>
      </c>
      <c r="AM15" s="26" t="e">
        <f t="shared" si="15"/>
        <v>#DIV/0!</v>
      </c>
      <c r="AN15" s="26" t="e">
        <f t="shared" si="15"/>
        <v>#DIV/0!</v>
      </c>
      <c r="AO15" s="26" t="e">
        <f t="shared" si="15"/>
        <v>#DIV/0!</v>
      </c>
      <c r="AP15" s="26" t="e">
        <f t="shared" si="15"/>
        <v>#DIV/0!</v>
      </c>
      <c r="AQ15" s="26" t="e">
        <f t="shared" si="15"/>
        <v>#DIV/0!</v>
      </c>
    </row>
    <row r="16" spans="1:55" s="376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J16" s="6" t="s">
        <v>13</v>
      </c>
      <c r="K16" s="6">
        <v>0</v>
      </c>
      <c r="L16" s="6">
        <v>0</v>
      </c>
      <c r="M16" s="9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AA16" s="6" t="s">
        <v>13</v>
      </c>
      <c r="AB16" s="6">
        <v>0</v>
      </c>
      <c r="AC16" s="6">
        <v>0</v>
      </c>
      <c r="AD16" s="9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376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 t="shared" si="16"/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J17" s="6" t="s">
        <v>14</v>
      </c>
      <c r="K17" s="27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J17" s="6" t="s">
        <v>14</v>
      </c>
      <c r="AK17" s="6">
        <v>0</v>
      </c>
      <c r="AL17" s="6">
        <v>0</v>
      </c>
      <c r="AM17" s="9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6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461" t="s">
        <v>16</v>
      </c>
      <c r="B19" s="462"/>
      <c r="C19" s="462"/>
      <c r="D19" s="462"/>
      <c r="E19" s="462"/>
      <c r="F19" s="462"/>
      <c r="G19" s="462"/>
      <c r="H19" s="463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AA19" s="461" t="s">
        <v>16</v>
      </c>
      <c r="AB19" s="462"/>
      <c r="AC19" s="462"/>
      <c r="AD19" s="462"/>
      <c r="AE19" s="462"/>
      <c r="AF19" s="462"/>
      <c r="AG19" s="462"/>
      <c r="AH19" s="463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4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244" t="s">
        <v>18</v>
      </c>
      <c r="K20" s="8">
        <f>K23+K26+K29+K32+K35+K38</f>
        <v>95.9</v>
      </c>
      <c r="L20" s="244">
        <f>L23+L26+L29+L32+L35+L38</f>
        <v>2694</v>
      </c>
      <c r="M20" s="9">
        <f>N20+O20+P20+Q20</f>
        <v>2107</v>
      </c>
      <c r="N20" s="244">
        <f t="shared" ref="N20:Q21" si="18">N23+N26+N29+N32+N35+N38</f>
        <v>76</v>
      </c>
      <c r="O20" s="244">
        <f t="shared" si="18"/>
        <v>568</v>
      </c>
      <c r="P20" s="244">
        <f t="shared" si="18"/>
        <v>441</v>
      </c>
      <c r="Q20" s="244">
        <f t="shared" si="18"/>
        <v>1022</v>
      </c>
      <c r="R20" s="244" t="s">
        <v>18</v>
      </c>
      <c r="S20" s="8">
        <f>S23+S26+S29+S32+S35+S38</f>
        <v>276</v>
      </c>
      <c r="T20" s="244">
        <f>T23+T26+T29+T32+T35+T38</f>
        <v>30262</v>
      </c>
      <c r="U20" s="9">
        <f>V20+W20+X20+Y20</f>
        <v>27710</v>
      </c>
      <c r="V20" s="244">
        <f t="shared" ref="V20:Y21" si="19">V23+V26+V29+V32+V35+V38</f>
        <v>8778</v>
      </c>
      <c r="W20" s="244">
        <f t="shared" si="19"/>
        <v>7862</v>
      </c>
      <c r="X20" s="244">
        <f t="shared" si="19"/>
        <v>3008</v>
      </c>
      <c r="Y20" s="244">
        <f t="shared" si="19"/>
        <v>8062</v>
      </c>
      <c r="AA20" s="244" t="s">
        <v>18</v>
      </c>
      <c r="AB20" s="8">
        <f>AB23+AB26+AB29+AB32+AB35+AB38</f>
        <v>125.2</v>
      </c>
      <c r="AC20" s="244">
        <f t="shared" ref="AC20:AH21" si="20">AC23+AC26+AC29+AC32+AC35+AC38</f>
        <v>19388</v>
      </c>
      <c r="AD20" s="9">
        <f>AE20+AF20+AG20+AH20</f>
        <v>18020</v>
      </c>
      <c r="AE20" s="244">
        <f t="shared" si="20"/>
        <v>8190</v>
      </c>
      <c r="AF20" s="244">
        <f t="shared" si="20"/>
        <v>4742</v>
      </c>
      <c r="AG20" s="244">
        <f t="shared" si="20"/>
        <v>1490</v>
      </c>
      <c r="AH20" s="244">
        <f t="shared" si="20"/>
        <v>3598</v>
      </c>
      <c r="AJ20" s="244" t="s">
        <v>18</v>
      </c>
      <c r="AK20" s="27">
        <f>AK23+AK26+AK29+AK32+AK35+AK38</f>
        <v>11.7</v>
      </c>
      <c r="AL20" s="6">
        <f t="shared" ref="AL20:AQ20" si="21">AL23+AL26+AL29+AL32+AL35+AL38</f>
        <v>1316</v>
      </c>
      <c r="AM20" s="9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376" customFormat="1">
      <c r="A21" s="18" t="s">
        <v>19</v>
      </c>
      <c r="B21" s="6">
        <f t="shared" si="17"/>
        <v>333.7</v>
      </c>
      <c r="C21" s="6">
        <f t="shared" si="17"/>
        <v>32875</v>
      </c>
      <c r="D21" s="6">
        <f t="shared" si="17"/>
        <v>30913</v>
      </c>
      <c r="E21" s="6">
        <f t="shared" si="17"/>
        <v>10878</v>
      </c>
      <c r="F21" s="6">
        <f t="shared" si="17"/>
        <v>5988</v>
      </c>
      <c r="G21" s="6">
        <f t="shared" si="17"/>
        <v>1119</v>
      </c>
      <c r="H21" s="6">
        <f t="shared" si="17"/>
        <v>12928</v>
      </c>
      <c r="J21" s="18" t="s">
        <v>19</v>
      </c>
      <c r="K21" s="27">
        <f>K24+K27+K30+K33+K36+K39</f>
        <v>113</v>
      </c>
      <c r="L21" s="6">
        <f>L24+L27+L30+L33+L36+L39</f>
        <v>4680</v>
      </c>
      <c r="M21" s="9">
        <f>N21+O21+P21+Q21</f>
        <v>4193</v>
      </c>
      <c r="N21" s="6">
        <f t="shared" si="18"/>
        <v>315</v>
      </c>
      <c r="O21" s="6">
        <f t="shared" si="18"/>
        <v>569</v>
      </c>
      <c r="P21" s="6">
        <f t="shared" si="18"/>
        <v>237</v>
      </c>
      <c r="Q21" s="6">
        <f t="shared" si="18"/>
        <v>3072</v>
      </c>
      <c r="R21" s="18" t="s">
        <v>19</v>
      </c>
      <c r="S21" s="6">
        <f>S24+S27+S30+S33+S36+S39</f>
        <v>207.3</v>
      </c>
      <c r="T21" s="6">
        <f>T24+T27+T30+T33+T36+T39</f>
        <v>26325</v>
      </c>
      <c r="U21" s="9">
        <f>V21+W21+X21+Y21</f>
        <v>24946</v>
      </c>
      <c r="V21" s="6">
        <f t="shared" si="19"/>
        <v>10099</v>
      </c>
      <c r="W21" s="6">
        <f t="shared" si="19"/>
        <v>5243</v>
      </c>
      <c r="X21" s="6">
        <f t="shared" si="19"/>
        <v>855</v>
      </c>
      <c r="Y21" s="6">
        <f t="shared" si="19"/>
        <v>8749</v>
      </c>
      <c r="AA21" s="18" t="s">
        <v>19</v>
      </c>
      <c r="AB21" s="6">
        <f>AB24+AB27+AB30+AB33+AB36+AB39</f>
        <v>116.69999999999999</v>
      </c>
      <c r="AC21" s="26">
        <f>AC24+AC27+AC30+AC33+AC36+AC39</f>
        <v>17565</v>
      </c>
      <c r="AD21" s="9">
        <f>AE21+AF21+AG21+AH21</f>
        <v>16652</v>
      </c>
      <c r="AE21" s="6">
        <f t="shared" si="20"/>
        <v>9976</v>
      </c>
      <c r="AF21" s="6">
        <f t="shared" si="20"/>
        <v>2449</v>
      </c>
      <c r="AG21" s="6">
        <f t="shared" si="20"/>
        <v>174</v>
      </c>
      <c r="AH21" s="6">
        <f t="shared" si="20"/>
        <v>4053</v>
      </c>
      <c r="AJ21" s="18" t="s">
        <v>19</v>
      </c>
      <c r="AK21" s="8">
        <f>AK24+AK27+AK30+AK33+AK36+AK39</f>
        <v>13.4</v>
      </c>
      <c r="AL21" s="244">
        <f>AL24+AL27+AL30+AL33+AL36+AL39</f>
        <v>1870</v>
      </c>
      <c r="AM21" s="9">
        <f>AN21+AO21+AP21+AQ21</f>
        <v>1774</v>
      </c>
      <c r="AN21" s="244">
        <f>AN24+AN27+AN30+AN33+AN36+AN39</f>
        <v>464</v>
      </c>
      <c r="AO21" s="244">
        <f>AO24+AO27+AO30+AO33+AO36+AO39</f>
        <v>176</v>
      </c>
      <c r="AP21" s="244">
        <f>AP24+AP27+AP30+AP33+AP36+AP39</f>
        <v>27</v>
      </c>
      <c r="AQ21" s="244">
        <f>AQ24+AQ27+AQ30+AQ33+AQ36+AQ39</f>
        <v>1107</v>
      </c>
    </row>
    <row r="22" spans="1:43">
      <c r="A22" s="244" t="s">
        <v>20</v>
      </c>
      <c r="B22" s="26">
        <f t="shared" ref="B22:H22" si="22">+B21/B20*100</f>
        <v>86.991657977059447</v>
      </c>
      <c r="C22" s="26">
        <f t="shared" si="22"/>
        <v>95.923786181139121</v>
      </c>
      <c r="D22" s="26">
        <f t="shared" si="22"/>
        <v>99.873998449211683</v>
      </c>
      <c r="E22" s="26">
        <f t="shared" si="22"/>
        <v>121.3250055766228</v>
      </c>
      <c r="F22" s="26">
        <f t="shared" si="22"/>
        <v>68.764354616444649</v>
      </c>
      <c r="G22" s="26">
        <f t="shared" si="22"/>
        <v>30.860452289023716</v>
      </c>
      <c r="H22" s="26">
        <f t="shared" si="22"/>
        <v>133.94115209283052</v>
      </c>
      <c r="J22" s="244" t="s">
        <v>20</v>
      </c>
      <c r="K22" s="26">
        <f t="shared" ref="K22:Q22" si="23">+K21/K20*100</f>
        <v>117.83107403545358</v>
      </c>
      <c r="L22" s="26">
        <f t="shared" si="23"/>
        <v>173.71937639198219</v>
      </c>
      <c r="M22" s="26">
        <f t="shared" si="23"/>
        <v>199.00332225913621</v>
      </c>
      <c r="N22" s="26">
        <f t="shared" si="23"/>
        <v>414.4736842105263</v>
      </c>
      <c r="O22" s="26">
        <f t="shared" si="23"/>
        <v>100.17605633802818</v>
      </c>
      <c r="P22" s="26">
        <f t="shared" si="23"/>
        <v>53.741496598639458</v>
      </c>
      <c r="Q22" s="26">
        <f t="shared" si="23"/>
        <v>300.58708414872797</v>
      </c>
      <c r="R22" s="244" t="s">
        <v>20</v>
      </c>
      <c r="S22" s="26">
        <f t="shared" ref="S22:Y22" si="24">+S21/S20*100</f>
        <v>75.108695652173921</v>
      </c>
      <c r="T22" s="26">
        <f t="shared" si="24"/>
        <v>86.99028484568106</v>
      </c>
      <c r="U22" s="26">
        <f t="shared" si="24"/>
        <v>90.025261638397694</v>
      </c>
      <c r="V22" s="26">
        <f t="shared" si="24"/>
        <v>115.04898610161769</v>
      </c>
      <c r="W22" s="26">
        <f t="shared" si="24"/>
        <v>66.687865683032314</v>
      </c>
      <c r="X22" s="26">
        <f t="shared" si="24"/>
        <v>28.424202127659576</v>
      </c>
      <c r="Y22" s="26">
        <f t="shared" si="24"/>
        <v>108.52145869511287</v>
      </c>
      <c r="AA22" s="244" t="s">
        <v>20</v>
      </c>
      <c r="AB22" s="26">
        <f t="shared" ref="AB22:AH22" si="25">+AB21/AB20*100</f>
        <v>93.210862619808296</v>
      </c>
      <c r="AC22" s="26">
        <f t="shared" si="25"/>
        <v>90.597276665978953</v>
      </c>
      <c r="AD22" s="26">
        <f t="shared" si="25"/>
        <v>92.408435072142055</v>
      </c>
      <c r="AE22" s="26">
        <f t="shared" si="25"/>
        <v>121.8070818070818</v>
      </c>
      <c r="AF22" s="26">
        <f t="shared" si="25"/>
        <v>51.64487557992409</v>
      </c>
      <c r="AG22" s="26">
        <f t="shared" si="25"/>
        <v>11.677852348993287</v>
      </c>
      <c r="AH22" s="26">
        <f t="shared" si="25"/>
        <v>112.64591439688716</v>
      </c>
      <c r="AJ22" s="244" t="s">
        <v>20</v>
      </c>
      <c r="AK22" s="26">
        <f t="shared" ref="AK22:AQ22" si="26">+AK21/AK20*100</f>
        <v>114.52991452991455</v>
      </c>
      <c r="AL22" s="26">
        <f t="shared" si="26"/>
        <v>142.09726443768997</v>
      </c>
      <c r="AM22" s="26">
        <f t="shared" si="26"/>
        <v>156.29955947136565</v>
      </c>
      <c r="AN22" s="26">
        <f t="shared" si="26"/>
        <v>414.28571428571433</v>
      </c>
      <c r="AO22" s="26">
        <f t="shared" si="26"/>
        <v>63.309352517985609</v>
      </c>
      <c r="AP22" s="26">
        <f t="shared" si="26"/>
        <v>15.254237288135593</v>
      </c>
      <c r="AQ22" s="26">
        <f t="shared" si="26"/>
        <v>194.8943661971831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26" t="e">
        <f t="shared" ref="B25:H25" si="28">+B24/B23*100</f>
        <v>#DIV/0!</v>
      </c>
      <c r="C25" s="26" t="e">
        <f t="shared" si="28"/>
        <v>#DIV/0!</v>
      </c>
      <c r="D25" s="26" t="e">
        <f t="shared" si="28"/>
        <v>#DIV/0!</v>
      </c>
      <c r="E25" s="26" t="e">
        <f t="shared" si="28"/>
        <v>#DIV/0!</v>
      </c>
      <c r="F25" s="26" t="e">
        <f t="shared" si="28"/>
        <v>#DIV/0!</v>
      </c>
      <c r="G25" s="26" t="e">
        <f t="shared" si="28"/>
        <v>#DIV/0!</v>
      </c>
      <c r="H25" s="26" t="e">
        <f t="shared" si="28"/>
        <v>#DIV/0!</v>
      </c>
      <c r="J25" s="6" t="s">
        <v>12</v>
      </c>
      <c r="K25" s="26" t="e">
        <f t="shared" ref="K25:Q25" si="29">+K24/K23*100</f>
        <v>#DIV/0!</v>
      </c>
      <c r="L25" s="26" t="e">
        <f t="shared" si="29"/>
        <v>#DIV/0!</v>
      </c>
      <c r="M25" s="26" t="e">
        <f t="shared" si="29"/>
        <v>#DIV/0!</v>
      </c>
      <c r="N25" s="26" t="e">
        <f t="shared" si="29"/>
        <v>#DIV/0!</v>
      </c>
      <c r="O25" s="26" t="e">
        <f t="shared" si="29"/>
        <v>#DIV/0!</v>
      </c>
      <c r="P25" s="26" t="e">
        <f t="shared" si="29"/>
        <v>#DIV/0!</v>
      </c>
      <c r="Q25" s="26" t="e">
        <f t="shared" si="29"/>
        <v>#DIV/0!</v>
      </c>
      <c r="R25" s="6" t="s">
        <v>12</v>
      </c>
      <c r="S25" s="26" t="e">
        <f t="shared" ref="S25:Y25" si="30">+S24/S23*100</f>
        <v>#DIV/0!</v>
      </c>
      <c r="T25" s="26" t="e">
        <f t="shared" si="30"/>
        <v>#DIV/0!</v>
      </c>
      <c r="U25" s="26" t="e">
        <f t="shared" si="30"/>
        <v>#DIV/0!</v>
      </c>
      <c r="V25" s="26" t="e">
        <f t="shared" si="30"/>
        <v>#DIV/0!</v>
      </c>
      <c r="W25" s="26" t="e">
        <f t="shared" si="30"/>
        <v>#DIV/0!</v>
      </c>
      <c r="X25" s="26" t="e">
        <f t="shared" si="30"/>
        <v>#DIV/0!</v>
      </c>
      <c r="Y25" s="26" t="e">
        <f t="shared" si="30"/>
        <v>#DIV/0!</v>
      </c>
      <c r="AA25" s="6" t="s">
        <v>12</v>
      </c>
      <c r="AB25" s="26" t="e">
        <f t="shared" ref="AB25:AH25" si="31">+AB24/AB23*100</f>
        <v>#DIV/0!</v>
      </c>
      <c r="AC25" s="26" t="e">
        <f t="shared" si="31"/>
        <v>#DIV/0!</v>
      </c>
      <c r="AD25" s="26" t="e">
        <f t="shared" si="31"/>
        <v>#DIV/0!</v>
      </c>
      <c r="AE25" s="26" t="e">
        <f t="shared" si="31"/>
        <v>#DIV/0!</v>
      </c>
      <c r="AF25" s="26" t="e">
        <f t="shared" si="31"/>
        <v>#DIV/0!</v>
      </c>
      <c r="AG25" s="26" t="e">
        <f t="shared" si="31"/>
        <v>#DIV/0!</v>
      </c>
      <c r="AH25" s="26" t="e">
        <f t="shared" si="31"/>
        <v>#DIV/0!</v>
      </c>
      <c r="AJ25" s="6" t="s">
        <v>12</v>
      </c>
      <c r="AK25" s="26" t="e">
        <f t="shared" ref="AK25:AQ25" si="32">+AK24/AK23*100</f>
        <v>#DIV/0!</v>
      </c>
      <c r="AL25" s="26" t="e">
        <f t="shared" si="32"/>
        <v>#DIV/0!</v>
      </c>
      <c r="AM25" s="26" t="e">
        <f t="shared" si="32"/>
        <v>#DIV/0!</v>
      </c>
      <c r="AN25" s="26" t="e">
        <f t="shared" si="32"/>
        <v>#DIV/0!</v>
      </c>
      <c r="AO25" s="26" t="e">
        <f t="shared" si="32"/>
        <v>#DIV/0!</v>
      </c>
      <c r="AP25" s="26" t="e">
        <f t="shared" si="32"/>
        <v>#DIV/0!</v>
      </c>
      <c r="AQ25" s="26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26">
        <f t="shared" si="33"/>
        <v>967</v>
      </c>
      <c r="D26" s="26">
        <f t="shared" si="33"/>
        <v>775</v>
      </c>
      <c r="E26" s="26">
        <f t="shared" si="33"/>
        <v>72</v>
      </c>
      <c r="F26" s="26">
        <f t="shared" si="33"/>
        <v>258</v>
      </c>
      <c r="G26" s="26">
        <f t="shared" si="33"/>
        <v>113</v>
      </c>
      <c r="H26" s="26">
        <f t="shared" si="33"/>
        <v>332</v>
      </c>
      <c r="J26" s="6" t="s">
        <v>23</v>
      </c>
      <c r="K26" s="27">
        <v>11</v>
      </c>
      <c r="L26" s="26">
        <v>224</v>
      </c>
      <c r="M26" s="9">
        <f>N26+O26+P26+Q26</f>
        <v>165</v>
      </c>
      <c r="N26" s="26">
        <v>4</v>
      </c>
      <c r="O26" s="26">
        <v>34</v>
      </c>
      <c r="P26" s="26">
        <v>33</v>
      </c>
      <c r="Q26" s="26">
        <v>94</v>
      </c>
      <c r="R26" s="6" t="s">
        <v>23</v>
      </c>
      <c r="S26" s="27">
        <v>24.3</v>
      </c>
      <c r="T26" s="26">
        <v>738</v>
      </c>
      <c r="U26" s="9">
        <f>V26+W26+X26+Y26</f>
        <v>606</v>
      </c>
      <c r="V26" s="26">
        <v>68</v>
      </c>
      <c r="W26" s="26">
        <v>224</v>
      </c>
      <c r="X26" s="26">
        <v>80</v>
      </c>
      <c r="Y26" s="26">
        <v>234</v>
      </c>
      <c r="AA26" s="6" t="s">
        <v>23</v>
      </c>
      <c r="AB26" s="27">
        <v>3.8</v>
      </c>
      <c r="AC26" s="6">
        <v>241</v>
      </c>
      <c r="AD26" s="9">
        <f>AE26+AF26+AG26+AH26</f>
        <v>216</v>
      </c>
      <c r="AE26" s="6">
        <v>59</v>
      </c>
      <c r="AF26" s="6">
        <v>95</v>
      </c>
      <c r="AG26" s="6">
        <v>24</v>
      </c>
      <c r="AH26" s="6">
        <v>38</v>
      </c>
      <c r="AJ26" s="6" t="s">
        <v>23</v>
      </c>
      <c r="AK26" s="6">
        <v>0</v>
      </c>
      <c r="AL26" s="26">
        <v>5</v>
      </c>
      <c r="AM26" s="9">
        <f>AN26+AO26+AP26+AQ26</f>
        <v>4</v>
      </c>
      <c r="AN26" s="26">
        <v>0</v>
      </c>
      <c r="AO26" s="26">
        <v>0</v>
      </c>
      <c r="AP26" s="26">
        <v>0</v>
      </c>
      <c r="AQ26" s="26">
        <v>4</v>
      </c>
    </row>
    <row r="27" spans="1:43">
      <c r="A27" s="6" t="s">
        <v>24</v>
      </c>
      <c r="B27" s="6">
        <f t="shared" si="33"/>
        <v>27.3</v>
      </c>
      <c r="C27" s="6">
        <f t="shared" si="33"/>
        <v>760</v>
      </c>
      <c r="D27" s="6">
        <f t="shared" si="33"/>
        <v>688</v>
      </c>
      <c r="E27" s="6">
        <f t="shared" si="33"/>
        <v>45</v>
      </c>
      <c r="F27" s="6">
        <f t="shared" si="33"/>
        <v>122</v>
      </c>
      <c r="G27" s="6">
        <f t="shared" si="33"/>
        <v>1</v>
      </c>
      <c r="H27" s="6">
        <f t="shared" si="33"/>
        <v>520</v>
      </c>
      <c r="J27" s="6" t="s">
        <v>24</v>
      </c>
      <c r="K27" s="27">
        <v>8.6999999999999993</v>
      </c>
      <c r="L27" s="26">
        <v>340</v>
      </c>
      <c r="M27" s="9">
        <f>N27+O27+P27+Q27</f>
        <v>313</v>
      </c>
      <c r="N27" s="26">
        <v>4</v>
      </c>
      <c r="O27" s="26">
        <v>94</v>
      </c>
      <c r="P27" s="26">
        <v>1</v>
      </c>
      <c r="Q27" s="26">
        <v>214</v>
      </c>
      <c r="R27" s="6" t="s">
        <v>24</v>
      </c>
      <c r="S27" s="27">
        <v>18.600000000000001</v>
      </c>
      <c r="T27" s="26">
        <v>420</v>
      </c>
      <c r="U27" s="9">
        <f>V27+W27+X27+Y27</f>
        <v>375</v>
      </c>
      <c r="V27" s="26">
        <v>41</v>
      </c>
      <c r="W27" s="26">
        <v>28</v>
      </c>
      <c r="X27" s="26">
        <v>0</v>
      </c>
      <c r="Y27" s="26">
        <v>306</v>
      </c>
      <c r="AA27" s="6" t="s">
        <v>24</v>
      </c>
      <c r="AB27" s="27">
        <v>6.9</v>
      </c>
      <c r="AC27" s="26">
        <v>190</v>
      </c>
      <c r="AD27" s="9">
        <f>AE27+AF27+AG27+AH27</f>
        <v>164</v>
      </c>
      <c r="AE27" s="26">
        <v>35</v>
      </c>
      <c r="AF27" s="26">
        <v>24</v>
      </c>
      <c r="AG27" s="26">
        <v>0</v>
      </c>
      <c r="AH27" s="26">
        <v>105</v>
      </c>
      <c r="AJ27" s="6" t="s">
        <v>24</v>
      </c>
      <c r="AK27" s="6">
        <v>0</v>
      </c>
      <c r="AL27" s="26">
        <v>0</v>
      </c>
      <c r="AM27" s="9">
        <f>AN27+AO27+AP27+AQ27</f>
        <v>0</v>
      </c>
      <c r="AN27" s="26">
        <v>0</v>
      </c>
      <c r="AO27" s="26">
        <v>0</v>
      </c>
      <c r="AP27" s="26">
        <v>0</v>
      </c>
      <c r="AQ27" s="26">
        <v>0</v>
      </c>
    </row>
    <row r="28" spans="1:43">
      <c r="A28" s="6" t="s">
        <v>12</v>
      </c>
      <c r="B28" s="26">
        <f t="shared" ref="B28:H28" si="34">+B27/B26*100</f>
        <v>77.337110481586407</v>
      </c>
      <c r="C28" s="26">
        <f t="shared" si="34"/>
        <v>78.593588417786975</v>
      </c>
      <c r="D28" s="26">
        <f t="shared" si="34"/>
        <v>88.774193548387089</v>
      </c>
      <c r="E28" s="26">
        <f t="shared" si="34"/>
        <v>62.5</v>
      </c>
      <c r="F28" s="26">
        <f t="shared" si="34"/>
        <v>47.286821705426355</v>
      </c>
      <c r="G28" s="26">
        <f t="shared" si="34"/>
        <v>0.88495575221238942</v>
      </c>
      <c r="H28" s="26">
        <f t="shared" si="34"/>
        <v>156.62650602409639</v>
      </c>
      <c r="J28" s="6" t="s">
        <v>12</v>
      </c>
      <c r="K28" s="26">
        <f t="shared" ref="K28:Q28" si="35">+K27/K26*100</f>
        <v>79.090909090909093</v>
      </c>
      <c r="L28" s="26">
        <f t="shared" si="35"/>
        <v>151.78571428571428</v>
      </c>
      <c r="M28" s="26">
        <f t="shared" si="35"/>
        <v>189.69696969696969</v>
      </c>
      <c r="N28" s="26">
        <f t="shared" si="35"/>
        <v>100</v>
      </c>
      <c r="O28" s="26">
        <f t="shared" si="35"/>
        <v>276.47058823529409</v>
      </c>
      <c r="P28" s="26">
        <f t="shared" si="35"/>
        <v>3.0303030303030303</v>
      </c>
      <c r="Q28" s="26">
        <f t="shared" si="35"/>
        <v>227.65957446808511</v>
      </c>
      <c r="R28" s="6" t="s">
        <v>12</v>
      </c>
      <c r="S28" s="26">
        <f>+S27/S26*100</f>
        <v>76.543209876543216</v>
      </c>
      <c r="T28" s="26">
        <f t="shared" ref="T28:Y28" si="36">+T27/T26*100</f>
        <v>56.910569105691053</v>
      </c>
      <c r="U28" s="26">
        <f t="shared" si="36"/>
        <v>61.881188118811878</v>
      </c>
      <c r="V28" s="26">
        <f t="shared" si="36"/>
        <v>60.294117647058819</v>
      </c>
      <c r="W28" s="26">
        <f t="shared" si="36"/>
        <v>12.5</v>
      </c>
      <c r="X28" s="26">
        <f t="shared" si="36"/>
        <v>0</v>
      </c>
      <c r="Y28" s="26">
        <f t="shared" si="36"/>
        <v>130.76923076923077</v>
      </c>
      <c r="AA28" s="6" t="s">
        <v>12</v>
      </c>
      <c r="AB28" s="26">
        <f t="shared" ref="AB28:AH28" si="37">+AB27/AB26*100</f>
        <v>181.57894736842107</v>
      </c>
      <c r="AC28" s="26">
        <f t="shared" si="37"/>
        <v>78.838174273858925</v>
      </c>
      <c r="AD28" s="26">
        <f t="shared" si="37"/>
        <v>75.925925925925924</v>
      </c>
      <c r="AE28" s="26">
        <f t="shared" si="37"/>
        <v>59.322033898305079</v>
      </c>
      <c r="AF28" s="26">
        <f t="shared" si="37"/>
        <v>25.263157894736842</v>
      </c>
      <c r="AG28" s="26">
        <f t="shared" si="37"/>
        <v>0</v>
      </c>
      <c r="AH28" s="26">
        <f t="shared" si="37"/>
        <v>276.31578947368422</v>
      </c>
      <c r="AJ28" s="6" t="s">
        <v>12</v>
      </c>
      <c r="AK28" s="26" t="e">
        <f t="shared" ref="AK28:AQ28" si="38">+AK27/AK26*100</f>
        <v>#DIV/0!</v>
      </c>
      <c r="AL28" s="26">
        <f t="shared" si="38"/>
        <v>0</v>
      </c>
      <c r="AM28" s="26">
        <f t="shared" si="38"/>
        <v>0</v>
      </c>
      <c r="AN28" s="26" t="e">
        <f t="shared" si="38"/>
        <v>#DIV/0!</v>
      </c>
      <c r="AO28" s="26" t="e">
        <f t="shared" si="38"/>
        <v>#DIV/0!</v>
      </c>
      <c r="AP28" s="26" t="e">
        <f t="shared" si="38"/>
        <v>#DIV/0!</v>
      </c>
      <c r="AQ28" s="26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26">
        <f t="shared" si="39"/>
        <v>1062</v>
      </c>
      <c r="D29" s="26">
        <f t="shared" si="39"/>
        <v>840</v>
      </c>
      <c r="E29" s="26">
        <f t="shared" si="39"/>
        <v>87</v>
      </c>
      <c r="F29" s="26">
        <f t="shared" si="39"/>
        <v>327</v>
      </c>
      <c r="G29" s="26">
        <f t="shared" si="39"/>
        <v>82</v>
      </c>
      <c r="H29" s="26">
        <f t="shared" si="39"/>
        <v>344</v>
      </c>
      <c r="J29" s="6" t="s">
        <v>25</v>
      </c>
      <c r="K29" s="6">
        <v>16.5</v>
      </c>
      <c r="L29" s="26">
        <v>251</v>
      </c>
      <c r="M29" s="9">
        <f>N29+O29+P29+Q29</f>
        <v>160</v>
      </c>
      <c r="N29" s="26">
        <v>6</v>
      </c>
      <c r="O29" s="26">
        <v>36</v>
      </c>
      <c r="P29" s="26">
        <v>27</v>
      </c>
      <c r="Q29" s="26">
        <v>91</v>
      </c>
      <c r="R29" s="6" t="s">
        <v>25</v>
      </c>
      <c r="S29" s="6">
        <v>20.2</v>
      </c>
      <c r="T29" s="26">
        <v>604</v>
      </c>
      <c r="U29" s="9">
        <f>V29+W29+X29+Y29</f>
        <v>528</v>
      </c>
      <c r="V29" s="26">
        <v>74</v>
      </c>
      <c r="W29" s="26">
        <v>257</v>
      </c>
      <c r="X29" s="26">
        <v>30</v>
      </c>
      <c r="Y29" s="26">
        <v>167</v>
      </c>
      <c r="AA29" s="6" t="s">
        <v>25</v>
      </c>
      <c r="AB29" s="6">
        <v>2.4</v>
      </c>
      <c r="AC29" s="6">
        <v>122</v>
      </c>
      <c r="AD29" s="9">
        <f>AE29+AF29+AG29+AH29</f>
        <v>109</v>
      </c>
      <c r="AE29" s="6">
        <v>30</v>
      </c>
      <c r="AF29" s="6">
        <v>49</v>
      </c>
      <c r="AG29" s="6">
        <v>12</v>
      </c>
      <c r="AH29" s="6">
        <v>18</v>
      </c>
      <c r="AJ29" s="6" t="s">
        <v>25</v>
      </c>
      <c r="AK29" s="6">
        <v>1.7</v>
      </c>
      <c r="AL29" s="26">
        <v>207</v>
      </c>
      <c r="AM29" s="9">
        <f>AN29+AO29+AP29+AQ29</f>
        <v>152</v>
      </c>
      <c r="AN29" s="26">
        <v>7</v>
      </c>
      <c r="AO29" s="26">
        <v>34</v>
      </c>
      <c r="AP29" s="26">
        <v>25</v>
      </c>
      <c r="AQ29" s="26">
        <v>86</v>
      </c>
    </row>
    <row r="30" spans="1:43">
      <c r="A30" s="6" t="s">
        <v>26</v>
      </c>
      <c r="B30" s="27">
        <f t="shared" si="39"/>
        <v>40</v>
      </c>
      <c r="C30" s="6">
        <f t="shared" si="39"/>
        <v>1070</v>
      </c>
      <c r="D30" s="6">
        <f t="shared" si="39"/>
        <v>980</v>
      </c>
      <c r="E30" s="6">
        <f t="shared" si="39"/>
        <v>71</v>
      </c>
      <c r="F30" s="6">
        <f t="shared" si="39"/>
        <v>32</v>
      </c>
      <c r="G30" s="6">
        <f t="shared" si="39"/>
        <v>2</v>
      </c>
      <c r="H30" s="6">
        <f t="shared" si="39"/>
        <v>875</v>
      </c>
      <c r="J30" s="6" t="s">
        <v>26</v>
      </c>
      <c r="K30" s="27">
        <v>12.5</v>
      </c>
      <c r="L30" s="26">
        <v>330</v>
      </c>
      <c r="M30" s="9">
        <f>N30+O30+P30+Q30</f>
        <v>285</v>
      </c>
      <c r="N30" s="26">
        <v>0</v>
      </c>
      <c r="O30" s="26">
        <v>18</v>
      </c>
      <c r="P30" s="26">
        <v>2</v>
      </c>
      <c r="Q30" s="26">
        <v>265</v>
      </c>
      <c r="R30" s="6" t="s">
        <v>26</v>
      </c>
      <c r="S30" s="27">
        <v>24.6</v>
      </c>
      <c r="T30" s="26">
        <v>650</v>
      </c>
      <c r="U30" s="9">
        <f>V30+W30+X30+Y30</f>
        <v>609</v>
      </c>
      <c r="V30" s="26">
        <v>57</v>
      </c>
      <c r="W30" s="26">
        <v>12</v>
      </c>
      <c r="X30" s="26">
        <v>0</v>
      </c>
      <c r="Y30" s="26">
        <v>540</v>
      </c>
      <c r="AA30" s="6" t="s">
        <v>26</v>
      </c>
      <c r="AB30" s="27">
        <v>4.5</v>
      </c>
      <c r="AC30" s="6">
        <v>190</v>
      </c>
      <c r="AD30" s="9">
        <f>AE30+AF30+AG30+AH30</f>
        <v>159</v>
      </c>
      <c r="AE30" s="6">
        <v>29</v>
      </c>
      <c r="AF30" s="6">
        <v>5</v>
      </c>
      <c r="AG30" s="6">
        <v>0</v>
      </c>
      <c r="AH30" s="6">
        <v>125</v>
      </c>
      <c r="AJ30" s="6" t="s">
        <v>26</v>
      </c>
      <c r="AK30" s="6">
        <v>2.9</v>
      </c>
      <c r="AL30" s="26">
        <v>90</v>
      </c>
      <c r="AM30" s="9">
        <f>AN30+AO30+AP30+AQ30</f>
        <v>86</v>
      </c>
      <c r="AN30" s="26">
        <v>14</v>
      </c>
      <c r="AO30" s="26">
        <v>2</v>
      </c>
      <c r="AP30" s="26">
        <v>0</v>
      </c>
      <c r="AQ30" s="26">
        <v>70</v>
      </c>
    </row>
    <row r="31" spans="1:43">
      <c r="A31" s="6" t="s">
        <v>12</v>
      </c>
      <c r="B31" s="26">
        <f t="shared" ref="B31:H31" si="40">+B30/B29*100</f>
        <v>104.16666666666666</v>
      </c>
      <c r="C31" s="26">
        <f t="shared" si="40"/>
        <v>100.75329566854991</v>
      </c>
      <c r="D31" s="26">
        <f t="shared" si="40"/>
        <v>116.66666666666667</v>
      </c>
      <c r="E31" s="26">
        <f t="shared" si="40"/>
        <v>81.609195402298852</v>
      </c>
      <c r="F31" s="26">
        <f t="shared" si="40"/>
        <v>9.7859327217125376</v>
      </c>
      <c r="G31" s="26">
        <f t="shared" si="40"/>
        <v>2.4390243902439024</v>
      </c>
      <c r="H31" s="26">
        <f t="shared" si="40"/>
        <v>254.36046511627904</v>
      </c>
      <c r="J31" s="6" t="s">
        <v>12</v>
      </c>
      <c r="K31" s="26">
        <f t="shared" ref="K31:Q31" si="41">+K30/K29*100</f>
        <v>75.757575757575751</v>
      </c>
      <c r="L31" s="26">
        <f t="shared" si="41"/>
        <v>131.47410358565736</v>
      </c>
      <c r="M31" s="26">
        <f t="shared" si="41"/>
        <v>178.125</v>
      </c>
      <c r="N31" s="26">
        <f t="shared" si="41"/>
        <v>0</v>
      </c>
      <c r="O31" s="26">
        <f t="shared" si="41"/>
        <v>50</v>
      </c>
      <c r="P31" s="26">
        <f t="shared" si="41"/>
        <v>7.4074074074074066</v>
      </c>
      <c r="Q31" s="26">
        <f t="shared" si="41"/>
        <v>291.20879120879118</v>
      </c>
      <c r="R31" s="6" t="s">
        <v>12</v>
      </c>
      <c r="S31" s="26">
        <f t="shared" ref="S31:Y31" si="42">+S30/S29*100</f>
        <v>121.78217821782181</v>
      </c>
      <c r="T31" s="26">
        <f t="shared" si="42"/>
        <v>107.61589403973511</v>
      </c>
      <c r="U31" s="26">
        <f t="shared" si="42"/>
        <v>115.34090909090908</v>
      </c>
      <c r="V31" s="26">
        <f t="shared" si="42"/>
        <v>77.027027027027032</v>
      </c>
      <c r="W31" s="26">
        <f t="shared" si="42"/>
        <v>4.6692607003891053</v>
      </c>
      <c r="X31" s="26">
        <f t="shared" si="42"/>
        <v>0</v>
      </c>
      <c r="Y31" s="26">
        <f t="shared" si="42"/>
        <v>323.35329341317367</v>
      </c>
      <c r="AA31" s="6" t="s">
        <v>12</v>
      </c>
      <c r="AB31" s="26">
        <f t="shared" ref="AB31:AH31" si="43">+AB30/AB29*100</f>
        <v>187.5</v>
      </c>
      <c r="AC31" s="26">
        <f t="shared" si="43"/>
        <v>155.73770491803279</v>
      </c>
      <c r="AD31" s="26">
        <f t="shared" si="43"/>
        <v>145.87155963302752</v>
      </c>
      <c r="AE31" s="26">
        <f t="shared" si="43"/>
        <v>96.666666666666671</v>
      </c>
      <c r="AF31" s="26">
        <f t="shared" si="43"/>
        <v>10.204081632653061</v>
      </c>
      <c r="AG31" s="26">
        <f t="shared" si="43"/>
        <v>0</v>
      </c>
      <c r="AH31" s="26">
        <f t="shared" si="43"/>
        <v>694.44444444444446</v>
      </c>
      <c r="AJ31" s="6" t="s">
        <v>12</v>
      </c>
      <c r="AK31" s="26">
        <f t="shared" ref="AK31:AQ31" si="44">+AK30/AK29*100</f>
        <v>170.58823529411765</v>
      </c>
      <c r="AL31" s="26">
        <f t="shared" si="44"/>
        <v>43.478260869565219</v>
      </c>
      <c r="AM31" s="26">
        <f t="shared" si="44"/>
        <v>56.578947368421048</v>
      </c>
      <c r="AN31" s="26">
        <f t="shared" si="44"/>
        <v>200</v>
      </c>
      <c r="AO31" s="26">
        <f t="shared" si="44"/>
        <v>5.8823529411764701</v>
      </c>
      <c r="AP31" s="26">
        <f t="shared" si="44"/>
        <v>0</v>
      </c>
      <c r="AQ31" s="26">
        <f t="shared" si="44"/>
        <v>81.395348837209298</v>
      </c>
    </row>
    <row r="32" spans="1:43">
      <c r="A32" s="6" t="s">
        <v>27</v>
      </c>
      <c r="B32" s="27">
        <f t="shared" ref="B32:H33" si="45">+K32+S32+AK32</f>
        <v>33.699999999999996</v>
      </c>
      <c r="C32" s="26">
        <f t="shared" si="45"/>
        <v>9135</v>
      </c>
      <c r="D32" s="26">
        <f t="shared" si="45"/>
        <v>8878</v>
      </c>
      <c r="E32" s="26">
        <f t="shared" si="45"/>
        <v>5481</v>
      </c>
      <c r="F32" s="26">
        <f t="shared" si="45"/>
        <v>1644</v>
      </c>
      <c r="G32" s="26">
        <f t="shared" si="45"/>
        <v>457</v>
      </c>
      <c r="H32" s="26">
        <f t="shared" si="45"/>
        <v>1296</v>
      </c>
      <c r="J32" s="6" t="s">
        <v>27</v>
      </c>
      <c r="K32" s="6">
        <v>0</v>
      </c>
      <c r="L32" s="26">
        <v>0</v>
      </c>
      <c r="M32" s="9">
        <f>N32+O32+P32+Q32</f>
        <v>0</v>
      </c>
      <c r="N32" s="26">
        <v>0</v>
      </c>
      <c r="O32" s="26">
        <v>0</v>
      </c>
      <c r="P32" s="26">
        <v>0</v>
      </c>
      <c r="Q32" s="26">
        <v>0</v>
      </c>
      <c r="R32" s="6" t="s">
        <v>27</v>
      </c>
      <c r="S32" s="27">
        <v>32.799999999999997</v>
      </c>
      <c r="T32" s="26">
        <v>8992</v>
      </c>
      <c r="U32" s="9">
        <f>V32+W32+X32+Y32</f>
        <v>8746</v>
      </c>
      <c r="V32" s="26">
        <v>5412</v>
      </c>
      <c r="W32" s="26">
        <v>1616</v>
      </c>
      <c r="X32" s="26">
        <v>450</v>
      </c>
      <c r="Y32" s="26">
        <v>1268</v>
      </c>
      <c r="AA32" s="6" t="s">
        <v>27</v>
      </c>
      <c r="AB32" s="6">
        <v>32.799999999999997</v>
      </c>
      <c r="AC32" s="6">
        <v>8992</v>
      </c>
      <c r="AD32" s="9">
        <f>AE32+AF32+AG32+AH32</f>
        <v>8746</v>
      </c>
      <c r="AE32" s="6">
        <v>5412</v>
      </c>
      <c r="AF32" s="6">
        <v>1616</v>
      </c>
      <c r="AG32" s="6">
        <v>450</v>
      </c>
      <c r="AH32" s="6">
        <v>1268</v>
      </c>
      <c r="AJ32" s="6" t="s">
        <v>27</v>
      </c>
      <c r="AK32" s="6">
        <v>0.9</v>
      </c>
      <c r="AL32" s="26">
        <v>143</v>
      </c>
      <c r="AM32" s="9">
        <f>AN32+AO32+AP32+AQ32</f>
        <v>132</v>
      </c>
      <c r="AN32" s="26">
        <v>69</v>
      </c>
      <c r="AO32" s="26">
        <v>28</v>
      </c>
      <c r="AP32" s="26">
        <v>7</v>
      </c>
      <c r="AQ32" s="26">
        <v>28</v>
      </c>
    </row>
    <row r="33" spans="1:43">
      <c r="A33" s="6" t="s">
        <v>28</v>
      </c>
      <c r="B33" s="27">
        <f t="shared" si="45"/>
        <v>30.2</v>
      </c>
      <c r="C33" s="6">
        <f t="shared" si="45"/>
        <v>10400</v>
      </c>
      <c r="D33" s="6">
        <f t="shared" si="45"/>
        <v>10280</v>
      </c>
      <c r="E33" s="6">
        <f t="shared" si="45"/>
        <v>8165</v>
      </c>
      <c r="F33" s="6">
        <f t="shared" si="45"/>
        <v>1138</v>
      </c>
      <c r="G33" s="6">
        <f t="shared" si="45"/>
        <v>82</v>
      </c>
      <c r="H33" s="6">
        <f t="shared" si="45"/>
        <v>895</v>
      </c>
      <c r="J33" s="6" t="s">
        <v>28</v>
      </c>
      <c r="K33" s="6">
        <v>0</v>
      </c>
      <c r="L33" s="26">
        <v>0</v>
      </c>
      <c r="M33" s="9">
        <f>N33+O33+P33+Q33</f>
        <v>0</v>
      </c>
      <c r="N33" s="26">
        <v>0</v>
      </c>
      <c r="O33" s="26">
        <v>0</v>
      </c>
      <c r="P33" s="26">
        <v>0</v>
      </c>
      <c r="Q33" s="26">
        <v>0</v>
      </c>
      <c r="R33" s="6" t="s">
        <v>28</v>
      </c>
      <c r="S33" s="27">
        <v>30.2</v>
      </c>
      <c r="T33" s="26">
        <v>10400</v>
      </c>
      <c r="U33" s="9">
        <f>V33+W33+X33+Y33</f>
        <v>10280</v>
      </c>
      <c r="V33" s="26">
        <v>8165</v>
      </c>
      <c r="W33" s="26">
        <v>1138</v>
      </c>
      <c r="X33" s="26">
        <v>82</v>
      </c>
      <c r="Y33" s="26">
        <v>895</v>
      </c>
      <c r="AA33" s="6" t="s">
        <v>28</v>
      </c>
      <c r="AB33" s="27">
        <v>30.2</v>
      </c>
      <c r="AC33" s="26">
        <v>10400</v>
      </c>
      <c r="AD33" s="9">
        <f>AE33+AF33+AG33+AH33</f>
        <v>10280</v>
      </c>
      <c r="AE33" s="26">
        <v>8165</v>
      </c>
      <c r="AF33" s="26">
        <v>1138</v>
      </c>
      <c r="AG33" s="26">
        <v>82</v>
      </c>
      <c r="AH33" s="26">
        <v>895</v>
      </c>
      <c r="AJ33" s="6" t="s">
        <v>28</v>
      </c>
      <c r="AK33" s="6">
        <v>0</v>
      </c>
      <c r="AL33" s="26">
        <v>0</v>
      </c>
      <c r="AM33" s="9">
        <f>AN33+AO33+AP33+AQ33</f>
        <v>0</v>
      </c>
      <c r="AN33" s="26">
        <v>0</v>
      </c>
      <c r="AO33" s="26">
        <v>0</v>
      </c>
      <c r="AP33" s="26">
        <v>0</v>
      </c>
      <c r="AQ33" s="26">
        <v>0</v>
      </c>
    </row>
    <row r="34" spans="1:43">
      <c r="A34" s="6" t="s">
        <v>12</v>
      </c>
      <c r="B34" s="26">
        <f t="shared" ref="B34:H34" si="46">+B33/B32*100</f>
        <v>89.614243323442139</v>
      </c>
      <c r="C34" s="26">
        <f t="shared" si="46"/>
        <v>113.84783798576903</v>
      </c>
      <c r="D34" s="26">
        <f t="shared" si="46"/>
        <v>115.79184501013742</v>
      </c>
      <c r="E34" s="26">
        <f t="shared" si="46"/>
        <v>148.96916621054552</v>
      </c>
      <c r="F34" s="26">
        <f t="shared" si="46"/>
        <v>69.221411192214106</v>
      </c>
      <c r="G34" s="26">
        <f t="shared" si="46"/>
        <v>17.943107221006567</v>
      </c>
      <c r="H34" s="26">
        <f t="shared" si="46"/>
        <v>69.058641975308646</v>
      </c>
      <c r="J34" s="6" t="s">
        <v>12</v>
      </c>
      <c r="K34" s="26" t="e">
        <f t="shared" ref="K34:Q34" si="47">+K33/K32*100</f>
        <v>#DIV/0!</v>
      </c>
      <c r="L34" s="26" t="e">
        <f t="shared" si="47"/>
        <v>#DIV/0!</v>
      </c>
      <c r="M34" s="26" t="e">
        <f t="shared" si="47"/>
        <v>#DIV/0!</v>
      </c>
      <c r="N34" s="26" t="e">
        <f t="shared" si="47"/>
        <v>#DIV/0!</v>
      </c>
      <c r="O34" s="26" t="e">
        <f t="shared" si="47"/>
        <v>#DIV/0!</v>
      </c>
      <c r="P34" s="26" t="e">
        <f t="shared" si="47"/>
        <v>#DIV/0!</v>
      </c>
      <c r="Q34" s="26" t="e">
        <f t="shared" si="47"/>
        <v>#DIV/0!</v>
      </c>
      <c r="R34" s="6" t="s">
        <v>12</v>
      </c>
      <c r="S34" s="26">
        <f t="shared" ref="S34:Y34" si="48">+S33/S32*100</f>
        <v>92.073170731707322</v>
      </c>
      <c r="T34" s="26">
        <f t="shared" si="48"/>
        <v>115.65836298932383</v>
      </c>
      <c r="U34" s="26">
        <f t="shared" si="48"/>
        <v>117.53944660416191</v>
      </c>
      <c r="V34" s="26">
        <f t="shared" si="48"/>
        <v>150.86844050258685</v>
      </c>
      <c r="W34" s="26">
        <f t="shared" si="48"/>
        <v>70.420792079207914</v>
      </c>
      <c r="X34" s="26">
        <f t="shared" si="48"/>
        <v>18.222222222222221</v>
      </c>
      <c r="Y34" s="26">
        <f t="shared" si="48"/>
        <v>70.583596214511047</v>
      </c>
      <c r="AA34" s="6" t="s">
        <v>12</v>
      </c>
      <c r="AB34" s="26">
        <f t="shared" ref="AB34:AH34" si="49">+AB33/AB32*100</f>
        <v>92.073170731707322</v>
      </c>
      <c r="AC34" s="26">
        <f t="shared" si="49"/>
        <v>115.65836298932383</v>
      </c>
      <c r="AD34" s="26">
        <f t="shared" si="49"/>
        <v>117.53944660416191</v>
      </c>
      <c r="AE34" s="26">
        <f t="shared" si="49"/>
        <v>150.86844050258685</v>
      </c>
      <c r="AF34" s="26">
        <f t="shared" si="49"/>
        <v>70.420792079207914</v>
      </c>
      <c r="AG34" s="26">
        <f t="shared" si="49"/>
        <v>18.222222222222221</v>
      </c>
      <c r="AH34" s="26">
        <f t="shared" si="49"/>
        <v>70.583596214511047</v>
      </c>
      <c r="AJ34" s="6" t="s">
        <v>12</v>
      </c>
      <c r="AK34" s="26">
        <f t="shared" ref="AK34:AQ34" si="50">+AK33/AK32*100</f>
        <v>0</v>
      </c>
      <c r="AL34" s="26">
        <f t="shared" si="50"/>
        <v>0</v>
      </c>
      <c r="AM34" s="26">
        <f t="shared" si="50"/>
        <v>0</v>
      </c>
      <c r="AN34" s="26">
        <f t="shared" si="50"/>
        <v>0</v>
      </c>
      <c r="AO34" s="26">
        <f t="shared" si="50"/>
        <v>0</v>
      </c>
      <c r="AP34" s="26">
        <f t="shared" si="50"/>
        <v>0</v>
      </c>
      <c r="AQ34" s="26">
        <f t="shared" si="50"/>
        <v>0</v>
      </c>
    </row>
    <row r="35" spans="1:43">
      <c r="A35" s="6" t="s">
        <v>29</v>
      </c>
      <c r="B35" s="6">
        <f t="shared" ref="B35:H36" si="51">+K35+S35+AK35</f>
        <v>86</v>
      </c>
      <c r="C35" s="26">
        <f t="shared" si="51"/>
        <v>8139</v>
      </c>
      <c r="D35" s="26">
        <f t="shared" si="51"/>
        <v>7663</v>
      </c>
      <c r="E35" s="26">
        <f t="shared" si="51"/>
        <v>326</v>
      </c>
      <c r="F35" s="26">
        <f t="shared" si="51"/>
        <v>2281</v>
      </c>
      <c r="G35" s="26">
        <f t="shared" si="51"/>
        <v>1223</v>
      </c>
      <c r="H35" s="26">
        <f t="shared" si="51"/>
        <v>3833</v>
      </c>
      <c r="J35" s="6" t="s">
        <v>29</v>
      </c>
      <c r="K35" s="6">
        <v>0</v>
      </c>
      <c r="L35" s="26">
        <v>7</v>
      </c>
      <c r="M35" s="9">
        <f>N35+O35+P35+Q35</f>
        <v>3</v>
      </c>
      <c r="N35" s="26">
        <v>0</v>
      </c>
      <c r="O35" s="26">
        <v>0</v>
      </c>
      <c r="P35" s="26">
        <v>1</v>
      </c>
      <c r="Q35" s="26">
        <v>2</v>
      </c>
      <c r="R35" s="6" t="s">
        <v>29</v>
      </c>
      <c r="S35" s="27">
        <v>83.2</v>
      </c>
      <c r="T35" s="26">
        <v>7884</v>
      </c>
      <c r="U35" s="9">
        <f>V35+W35+X35+Y35</f>
        <v>7433</v>
      </c>
      <c r="V35" s="26">
        <v>316</v>
      </c>
      <c r="W35" s="26">
        <v>2217</v>
      </c>
      <c r="X35" s="26">
        <v>1184</v>
      </c>
      <c r="Y35" s="26">
        <v>3716</v>
      </c>
      <c r="AA35" s="6" t="s">
        <v>29</v>
      </c>
      <c r="AB35" s="6">
        <v>0</v>
      </c>
      <c r="AC35" s="6">
        <v>0</v>
      </c>
      <c r="AD35" s="9">
        <f>AE35+AF35+AG35+AH35</f>
        <v>0</v>
      </c>
      <c r="AE35" s="6">
        <v>0</v>
      </c>
      <c r="AF35" s="6">
        <v>0</v>
      </c>
      <c r="AG35" s="6">
        <v>0</v>
      </c>
      <c r="AH35" s="6">
        <v>0</v>
      </c>
      <c r="AJ35" s="6" t="s">
        <v>29</v>
      </c>
      <c r="AK35" s="6">
        <v>2.8</v>
      </c>
      <c r="AL35" s="26">
        <v>248</v>
      </c>
      <c r="AM35" s="9">
        <f>AN35+AO35+AP35+AQ35</f>
        <v>227</v>
      </c>
      <c r="AN35" s="26">
        <v>10</v>
      </c>
      <c r="AO35" s="26">
        <v>64</v>
      </c>
      <c r="AP35" s="26">
        <v>38</v>
      </c>
      <c r="AQ35" s="26">
        <v>115</v>
      </c>
    </row>
    <row r="36" spans="1:43">
      <c r="A36" s="6" t="s">
        <v>30</v>
      </c>
      <c r="B36" s="27">
        <f t="shared" si="51"/>
        <v>50.099999999999994</v>
      </c>
      <c r="C36" s="6">
        <f t="shared" si="51"/>
        <v>7460</v>
      </c>
      <c r="D36" s="6">
        <f t="shared" si="51"/>
        <v>7044</v>
      </c>
      <c r="E36" s="6">
        <f t="shared" si="51"/>
        <v>55</v>
      </c>
      <c r="F36" s="6">
        <f t="shared" si="51"/>
        <v>2801</v>
      </c>
      <c r="G36" s="6">
        <f t="shared" si="51"/>
        <v>720</v>
      </c>
      <c r="H36" s="6">
        <f t="shared" si="51"/>
        <v>3468</v>
      </c>
      <c r="J36" s="6" t="s">
        <v>30</v>
      </c>
      <c r="K36" s="6">
        <v>1.3</v>
      </c>
      <c r="L36" s="26">
        <v>380</v>
      </c>
      <c r="M36" s="9">
        <f>N36+O36+P36+Q36</f>
        <v>340</v>
      </c>
      <c r="N36" s="26">
        <v>2</v>
      </c>
      <c r="O36" s="26">
        <v>104</v>
      </c>
      <c r="P36" s="26">
        <v>47</v>
      </c>
      <c r="Q36" s="26">
        <v>187</v>
      </c>
      <c r="R36" s="6" t="s">
        <v>30</v>
      </c>
      <c r="S36" s="27">
        <v>48.8</v>
      </c>
      <c r="T36" s="26">
        <v>7080</v>
      </c>
      <c r="U36" s="9">
        <f>V36+W36+X36+Y36</f>
        <v>6704</v>
      </c>
      <c r="V36" s="26">
        <v>53</v>
      </c>
      <c r="W36" s="26">
        <v>2697</v>
      </c>
      <c r="X36" s="26">
        <v>673</v>
      </c>
      <c r="Y36" s="26">
        <v>3281</v>
      </c>
      <c r="AA36" s="6" t="s">
        <v>30</v>
      </c>
      <c r="AB36" s="6">
        <v>0</v>
      </c>
      <c r="AC36" s="6">
        <v>0</v>
      </c>
      <c r="AD36" s="9">
        <f>AE36+AF36+AG36+AH36</f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>
        <v>0</v>
      </c>
      <c r="AL36" s="26">
        <v>0</v>
      </c>
      <c r="AM36" s="9">
        <f>AN36+AO36+AP36+AQ36</f>
        <v>0</v>
      </c>
      <c r="AN36" s="26">
        <v>0</v>
      </c>
      <c r="AO36" s="26">
        <v>0</v>
      </c>
      <c r="AP36" s="26">
        <v>0</v>
      </c>
      <c r="AQ36" s="26">
        <v>0</v>
      </c>
    </row>
    <row r="37" spans="1:43">
      <c r="A37" s="6" t="s">
        <v>12</v>
      </c>
      <c r="B37" s="26">
        <f t="shared" ref="B37:H37" si="52">+B36/B35*100</f>
        <v>58.255813953488364</v>
      </c>
      <c r="C37" s="26">
        <f t="shared" si="52"/>
        <v>91.657451775402393</v>
      </c>
      <c r="D37" s="26">
        <f t="shared" si="52"/>
        <v>91.922223672191052</v>
      </c>
      <c r="E37" s="26">
        <f t="shared" si="52"/>
        <v>16.871165644171779</v>
      </c>
      <c r="F37" s="26">
        <f t="shared" si="52"/>
        <v>122.79701885138097</v>
      </c>
      <c r="G37" s="26">
        <f t="shared" si="52"/>
        <v>58.871627146361405</v>
      </c>
      <c r="H37" s="26">
        <f t="shared" si="52"/>
        <v>90.477432820245241</v>
      </c>
      <c r="J37" s="6" t="s">
        <v>12</v>
      </c>
      <c r="K37" s="26" t="e">
        <f t="shared" ref="K37:Q37" si="53">+K36/K35*100</f>
        <v>#DIV/0!</v>
      </c>
      <c r="L37" s="26">
        <f t="shared" si="53"/>
        <v>5428.5714285714284</v>
      </c>
      <c r="M37" s="26">
        <f t="shared" si="53"/>
        <v>11333.333333333332</v>
      </c>
      <c r="N37" s="26" t="e">
        <f t="shared" si="53"/>
        <v>#DIV/0!</v>
      </c>
      <c r="O37" s="26" t="e">
        <f t="shared" si="53"/>
        <v>#DIV/0!</v>
      </c>
      <c r="P37" s="26">
        <f t="shared" si="53"/>
        <v>4700</v>
      </c>
      <c r="Q37" s="26">
        <f t="shared" si="53"/>
        <v>9350</v>
      </c>
      <c r="R37" s="6" t="s">
        <v>12</v>
      </c>
      <c r="S37" s="26">
        <f t="shared" ref="S37:Y37" si="54">+S36/S35*100</f>
        <v>58.653846153846146</v>
      </c>
      <c r="T37" s="26">
        <f t="shared" si="54"/>
        <v>89.802130898021304</v>
      </c>
      <c r="U37" s="26">
        <f t="shared" si="54"/>
        <v>90.192385308758233</v>
      </c>
      <c r="V37" s="26">
        <f t="shared" si="54"/>
        <v>16.77215189873418</v>
      </c>
      <c r="W37" s="26">
        <f t="shared" si="54"/>
        <v>121.65087956698241</v>
      </c>
      <c r="X37" s="26">
        <f t="shared" si="54"/>
        <v>56.841216216216218</v>
      </c>
      <c r="Y37" s="26">
        <f t="shared" si="54"/>
        <v>88.293864370290635</v>
      </c>
      <c r="AA37" s="6" t="s">
        <v>12</v>
      </c>
      <c r="AB37" s="26" t="e">
        <f t="shared" ref="AB37:AH37" si="55">+AB36/AB35*100</f>
        <v>#DIV/0!</v>
      </c>
      <c r="AC37" s="26" t="e">
        <f t="shared" si="55"/>
        <v>#DIV/0!</v>
      </c>
      <c r="AD37" s="26" t="e">
        <f t="shared" si="55"/>
        <v>#DIV/0!</v>
      </c>
      <c r="AE37" s="26" t="e">
        <f t="shared" si="55"/>
        <v>#DIV/0!</v>
      </c>
      <c r="AF37" s="26" t="e">
        <f t="shared" si="55"/>
        <v>#DIV/0!</v>
      </c>
      <c r="AG37" s="26" t="e">
        <f t="shared" si="55"/>
        <v>#DIV/0!</v>
      </c>
      <c r="AH37" s="26" t="e">
        <f t="shared" si="55"/>
        <v>#DIV/0!</v>
      </c>
      <c r="AJ37" s="6" t="s">
        <v>12</v>
      </c>
      <c r="AK37" s="26">
        <f>+AK36/AK35*100</f>
        <v>0</v>
      </c>
      <c r="AL37" s="26">
        <f t="shared" ref="AL37:AQ37" si="56">+AL36/AL35*100</f>
        <v>0</v>
      </c>
      <c r="AM37" s="26">
        <f t="shared" si="56"/>
        <v>0</v>
      </c>
      <c r="AN37" s="26">
        <f t="shared" si="56"/>
        <v>0</v>
      </c>
      <c r="AO37" s="26">
        <f t="shared" si="56"/>
        <v>0</v>
      </c>
      <c r="AP37" s="26">
        <f t="shared" si="56"/>
        <v>0</v>
      </c>
      <c r="AQ37" s="26">
        <f t="shared" si="56"/>
        <v>0</v>
      </c>
    </row>
    <row r="38" spans="1:43">
      <c r="A38" s="6" t="s">
        <v>31</v>
      </c>
      <c r="B38" s="6">
        <f t="shared" ref="B38:H39" si="57">+K38+S38+AK38</f>
        <v>190.20000000000002</v>
      </c>
      <c r="C38" s="26">
        <f t="shared" si="57"/>
        <v>14969</v>
      </c>
      <c r="D38" s="26">
        <f t="shared" si="57"/>
        <v>12796</v>
      </c>
      <c r="E38" s="26">
        <f t="shared" si="57"/>
        <v>3000</v>
      </c>
      <c r="F38" s="26">
        <f t="shared" si="57"/>
        <v>4198</v>
      </c>
      <c r="G38" s="26">
        <f t="shared" si="57"/>
        <v>1751</v>
      </c>
      <c r="H38" s="26">
        <f t="shared" si="57"/>
        <v>3847</v>
      </c>
      <c r="J38" s="6" t="s">
        <v>31</v>
      </c>
      <c r="K38" s="6">
        <v>68.400000000000006</v>
      </c>
      <c r="L38" s="26">
        <v>2212</v>
      </c>
      <c r="M38" s="9">
        <f>N38+O38+P38+Q38</f>
        <v>1779</v>
      </c>
      <c r="N38" s="26">
        <v>66</v>
      </c>
      <c r="O38" s="26">
        <v>498</v>
      </c>
      <c r="P38" s="26">
        <v>380</v>
      </c>
      <c r="Q38" s="26">
        <v>835</v>
      </c>
      <c r="R38" s="6" t="s">
        <v>31</v>
      </c>
      <c r="S38" s="6">
        <v>115.5</v>
      </c>
      <c r="T38" s="26">
        <v>12044</v>
      </c>
      <c r="U38" s="9">
        <f>V38+W38+X38+Y38</f>
        <v>10397</v>
      </c>
      <c r="V38" s="26">
        <v>2908</v>
      </c>
      <c r="W38" s="26">
        <v>3548</v>
      </c>
      <c r="X38" s="26">
        <v>1264</v>
      </c>
      <c r="Y38" s="26">
        <v>2677</v>
      </c>
      <c r="AA38" s="6" t="s">
        <v>31</v>
      </c>
      <c r="AB38" s="6">
        <v>86.2</v>
      </c>
      <c r="AC38" s="26">
        <v>10033</v>
      </c>
      <c r="AD38" s="9">
        <f>AE38+AF38+AG38+AH38</f>
        <v>8949</v>
      </c>
      <c r="AE38" s="26">
        <v>2689</v>
      </c>
      <c r="AF38" s="26">
        <v>2982</v>
      </c>
      <c r="AG38" s="26">
        <v>1004</v>
      </c>
      <c r="AH38" s="26">
        <v>2274</v>
      </c>
      <c r="AJ38" s="6" t="s">
        <v>31</v>
      </c>
      <c r="AK38" s="6">
        <v>6.3</v>
      </c>
      <c r="AL38" s="26">
        <v>713</v>
      </c>
      <c r="AM38" s="9">
        <f>AN38+AO38+AP38+AQ38</f>
        <v>620</v>
      </c>
      <c r="AN38" s="26">
        <v>26</v>
      </c>
      <c r="AO38" s="26">
        <v>152</v>
      </c>
      <c r="AP38" s="26">
        <v>107</v>
      </c>
      <c r="AQ38" s="26">
        <v>335</v>
      </c>
    </row>
    <row r="39" spans="1:43">
      <c r="A39" s="6" t="s">
        <v>32</v>
      </c>
      <c r="B39" s="27">
        <f t="shared" si="57"/>
        <v>186.1</v>
      </c>
      <c r="C39" s="6">
        <f t="shared" si="57"/>
        <v>13185</v>
      </c>
      <c r="D39" s="6">
        <f t="shared" si="57"/>
        <v>11921</v>
      </c>
      <c r="E39" s="6">
        <f t="shared" si="57"/>
        <v>2542</v>
      </c>
      <c r="F39" s="6">
        <f t="shared" si="57"/>
        <v>1895</v>
      </c>
      <c r="G39" s="6">
        <f t="shared" si="57"/>
        <v>314</v>
      </c>
      <c r="H39" s="6">
        <f t="shared" si="57"/>
        <v>7170</v>
      </c>
      <c r="J39" s="6" t="s">
        <v>32</v>
      </c>
      <c r="K39" s="27">
        <v>90.5</v>
      </c>
      <c r="L39" s="26">
        <v>3630</v>
      </c>
      <c r="M39" s="9">
        <f>N39+O39+P39+Q39</f>
        <v>3255</v>
      </c>
      <c r="N39" s="26">
        <v>309</v>
      </c>
      <c r="O39" s="26">
        <v>353</v>
      </c>
      <c r="P39" s="26">
        <v>187</v>
      </c>
      <c r="Q39" s="26">
        <v>2406</v>
      </c>
      <c r="R39" s="6" t="s">
        <v>32</v>
      </c>
      <c r="S39" s="6">
        <v>85.1</v>
      </c>
      <c r="T39" s="26">
        <v>7775</v>
      </c>
      <c r="U39" s="9">
        <f>V39+W39+X39+Y39</f>
        <v>6978</v>
      </c>
      <c r="V39" s="26">
        <v>1783</v>
      </c>
      <c r="W39" s="26">
        <v>1368</v>
      </c>
      <c r="X39" s="26">
        <v>100</v>
      </c>
      <c r="Y39" s="26">
        <v>3727</v>
      </c>
      <c r="AA39" s="6" t="s">
        <v>32</v>
      </c>
      <c r="AB39" s="27">
        <v>75.099999999999994</v>
      </c>
      <c r="AC39" s="26">
        <v>6785</v>
      </c>
      <c r="AD39" s="9">
        <f>AE39+AF39+AG39+AH39</f>
        <v>6049</v>
      </c>
      <c r="AE39" s="26">
        <v>1747</v>
      </c>
      <c r="AF39" s="26">
        <v>1282</v>
      </c>
      <c r="AG39" s="26">
        <v>92</v>
      </c>
      <c r="AH39" s="26">
        <v>2928</v>
      </c>
      <c r="AJ39" s="6" t="s">
        <v>32</v>
      </c>
      <c r="AK39" s="27">
        <v>10.5</v>
      </c>
      <c r="AL39" s="26">
        <v>1780</v>
      </c>
      <c r="AM39" s="9">
        <f>AN39+AO39+AP39+AQ39</f>
        <v>1688</v>
      </c>
      <c r="AN39" s="26">
        <v>450</v>
      </c>
      <c r="AO39" s="26">
        <v>174</v>
      </c>
      <c r="AP39" s="26">
        <v>27</v>
      </c>
      <c r="AQ39" s="26">
        <v>1037</v>
      </c>
    </row>
    <row r="40" spans="1:43">
      <c r="A40" s="6" t="s">
        <v>12</v>
      </c>
      <c r="B40" s="26">
        <f t="shared" ref="B40:H40" si="58">+B39/B38*100</f>
        <v>97.844374342797053</v>
      </c>
      <c r="C40" s="26">
        <f t="shared" si="58"/>
        <v>88.082036208163544</v>
      </c>
      <c r="D40" s="26">
        <f t="shared" si="58"/>
        <v>93.161925601750553</v>
      </c>
      <c r="E40" s="26">
        <f t="shared" si="58"/>
        <v>84.733333333333334</v>
      </c>
      <c r="F40" s="26">
        <f t="shared" si="58"/>
        <v>45.140543115769418</v>
      </c>
      <c r="G40" s="26">
        <f t="shared" si="58"/>
        <v>17.932609937178757</v>
      </c>
      <c r="H40" s="26">
        <f t="shared" si="58"/>
        <v>186.37899662074344</v>
      </c>
      <c r="J40" s="6" t="s">
        <v>12</v>
      </c>
      <c r="K40" s="26">
        <f t="shared" ref="K40:Q40" si="59">+K39/K38*100</f>
        <v>132.30994152046782</v>
      </c>
      <c r="L40" s="26">
        <f t="shared" si="59"/>
        <v>164.10488245931282</v>
      </c>
      <c r="M40" s="26">
        <f t="shared" si="59"/>
        <v>182.96795952782463</v>
      </c>
      <c r="N40" s="26">
        <f t="shared" si="59"/>
        <v>468.18181818181819</v>
      </c>
      <c r="O40" s="26">
        <f t="shared" si="59"/>
        <v>70.883534136546189</v>
      </c>
      <c r="P40" s="26">
        <f t="shared" si="59"/>
        <v>49.210526315789473</v>
      </c>
      <c r="Q40" s="26">
        <f t="shared" si="59"/>
        <v>288.14371257485033</v>
      </c>
      <c r="R40" s="6" t="s">
        <v>12</v>
      </c>
      <c r="S40" s="26">
        <f t="shared" ref="S40:Y40" si="60">+S39/S38*100</f>
        <v>73.679653679653683</v>
      </c>
      <c r="T40" s="26">
        <f t="shared" si="60"/>
        <v>64.554965127864492</v>
      </c>
      <c r="U40" s="26">
        <f t="shared" si="60"/>
        <v>67.115514090603057</v>
      </c>
      <c r="V40" s="26">
        <f t="shared" si="60"/>
        <v>61.313617606602477</v>
      </c>
      <c r="W40" s="26">
        <f t="shared" si="60"/>
        <v>38.556933483652763</v>
      </c>
      <c r="X40" s="26">
        <f t="shared" si="60"/>
        <v>7.9113924050632916</v>
      </c>
      <c r="Y40" s="26">
        <f t="shared" si="60"/>
        <v>139.22301083302204</v>
      </c>
      <c r="AA40" s="6" t="s">
        <v>12</v>
      </c>
      <c r="AB40" s="26">
        <f t="shared" ref="AB40:AH40" si="61">+AB39/AB38*100</f>
        <v>87.122969837586993</v>
      </c>
      <c r="AC40" s="26">
        <f t="shared" si="61"/>
        <v>67.626831456194552</v>
      </c>
      <c r="AD40" s="26">
        <f>+AD39/AD38*100</f>
        <v>67.594144597161701</v>
      </c>
      <c r="AE40" s="26">
        <f t="shared" si="61"/>
        <v>64.968389735961324</v>
      </c>
      <c r="AF40" s="26">
        <f t="shared" si="61"/>
        <v>42.991281019450035</v>
      </c>
      <c r="AG40" s="26">
        <f t="shared" si="61"/>
        <v>9.1633466135458175</v>
      </c>
      <c r="AH40" s="26">
        <f t="shared" si="61"/>
        <v>128.7598944591029</v>
      </c>
      <c r="AJ40" s="6" t="s">
        <v>12</v>
      </c>
      <c r="AK40" s="26">
        <f t="shared" ref="AK40:AQ40" si="62">+AK39/AK38*100</f>
        <v>166.66666666666669</v>
      </c>
      <c r="AL40" s="26">
        <f t="shared" si="62"/>
        <v>249.64936886395512</v>
      </c>
      <c r="AM40" s="26">
        <f t="shared" si="62"/>
        <v>272.25806451612902</v>
      </c>
      <c r="AN40" s="26">
        <f t="shared" si="62"/>
        <v>1730.7692307692307</v>
      </c>
      <c r="AO40" s="26">
        <f t="shared" si="62"/>
        <v>114.4736842105263</v>
      </c>
      <c r="AP40" s="26">
        <f t="shared" si="62"/>
        <v>25.233644859813083</v>
      </c>
      <c r="AQ40" s="26">
        <f t="shared" si="62"/>
        <v>309.55223880597015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29" t="s">
        <v>0</v>
      </c>
      <c r="B43" s="129" t="s">
        <v>1</v>
      </c>
      <c r="C43" s="129" t="s">
        <v>2</v>
      </c>
      <c r="D43" s="129" t="s">
        <v>3</v>
      </c>
      <c r="E43" s="129" t="s">
        <v>4</v>
      </c>
      <c r="F43" s="129" t="s">
        <v>5</v>
      </c>
      <c r="G43" s="129" t="s">
        <v>6</v>
      </c>
      <c r="H43" s="129" t="s">
        <v>7</v>
      </c>
    </row>
    <row r="44" spans="1:43">
      <c r="A44" s="129"/>
      <c r="B44" s="129" t="s">
        <v>8</v>
      </c>
      <c r="C44" s="129" t="s">
        <v>9</v>
      </c>
      <c r="D44" s="129" t="s">
        <v>10</v>
      </c>
      <c r="E44" s="129" t="s">
        <v>9</v>
      </c>
      <c r="F44" s="129" t="s">
        <v>9</v>
      </c>
      <c r="G44" s="129" t="s">
        <v>9</v>
      </c>
      <c r="H44" s="129" t="s">
        <v>9</v>
      </c>
    </row>
    <row r="45" spans="1:43">
      <c r="A45" s="129" t="s">
        <v>17</v>
      </c>
      <c r="B45" s="129"/>
      <c r="C45" s="129"/>
      <c r="D45" s="129"/>
      <c r="E45" s="129"/>
      <c r="F45" s="129"/>
      <c r="G45" s="129"/>
      <c r="H45" s="129"/>
    </row>
    <row r="46" spans="1:43">
      <c r="A46" s="129" t="s">
        <v>40</v>
      </c>
      <c r="B46" s="129">
        <f t="shared" ref="B46:H47" si="63">K9+S9+AK9</f>
        <v>391.59999999999997</v>
      </c>
      <c r="C46" s="129">
        <f t="shared" si="63"/>
        <v>34602</v>
      </c>
      <c r="D46" s="129">
        <f t="shared" si="63"/>
        <v>31199</v>
      </c>
      <c r="E46" s="129">
        <f t="shared" si="63"/>
        <v>8982</v>
      </c>
      <c r="F46" s="129">
        <f t="shared" si="63"/>
        <v>8805</v>
      </c>
      <c r="G46" s="129">
        <f t="shared" si="63"/>
        <v>3685</v>
      </c>
      <c r="H46" s="129">
        <f t="shared" si="63"/>
        <v>9727</v>
      </c>
    </row>
    <row r="47" spans="1:43">
      <c r="A47" s="129" t="s">
        <v>50</v>
      </c>
      <c r="B47" s="129">
        <f t="shared" si="63"/>
        <v>340.6</v>
      </c>
      <c r="C47" s="129">
        <f t="shared" si="63"/>
        <v>33225</v>
      </c>
      <c r="D47" s="129">
        <f t="shared" si="63"/>
        <v>31210</v>
      </c>
      <c r="E47" s="129">
        <f t="shared" si="63"/>
        <v>10879</v>
      </c>
      <c r="F47" s="129">
        <f t="shared" si="63"/>
        <v>5992</v>
      </c>
      <c r="G47" s="129">
        <f t="shared" si="63"/>
        <v>1119</v>
      </c>
      <c r="H47" s="129">
        <f t="shared" si="63"/>
        <v>13220</v>
      </c>
    </row>
    <row r="48" spans="1:43">
      <c r="A48" s="129" t="s">
        <v>44</v>
      </c>
      <c r="B48" s="129">
        <f>B47/B46*100</f>
        <v>86.976506639427996</v>
      </c>
      <c r="C48" s="129">
        <f t="shared" ref="C48:H48" si="64">C47/C46*100</f>
        <v>96.020461245014744</v>
      </c>
      <c r="D48" s="129">
        <f t="shared" si="64"/>
        <v>100.03525754030578</v>
      </c>
      <c r="E48" s="129">
        <f t="shared" si="64"/>
        <v>121.12001781340457</v>
      </c>
      <c r="F48" s="129">
        <f t="shared" si="64"/>
        <v>68.052243043725156</v>
      </c>
      <c r="G48" s="129">
        <f t="shared" si="64"/>
        <v>30.366350067842607</v>
      </c>
      <c r="H48" s="129">
        <f t="shared" si="64"/>
        <v>135.91035262670917</v>
      </c>
    </row>
    <row r="49" spans="1:8">
      <c r="A49" s="129" t="s">
        <v>11</v>
      </c>
      <c r="B49" s="129"/>
      <c r="C49" s="129"/>
      <c r="D49" s="129"/>
      <c r="E49" s="129"/>
      <c r="F49" s="129"/>
      <c r="G49" s="129"/>
      <c r="H49" s="129"/>
    </row>
    <row r="50" spans="1:8">
      <c r="A50" s="129" t="s">
        <v>40</v>
      </c>
      <c r="B50" s="129">
        <f t="shared" ref="B50:H51" si="65">K13+S13+AK13</f>
        <v>8</v>
      </c>
      <c r="C50" s="129">
        <f t="shared" si="65"/>
        <v>330</v>
      </c>
      <c r="D50" s="129">
        <f t="shared" si="65"/>
        <v>247</v>
      </c>
      <c r="E50" s="129">
        <f t="shared" si="65"/>
        <v>16</v>
      </c>
      <c r="F50" s="129">
        <f t="shared" si="65"/>
        <v>97</v>
      </c>
      <c r="G50" s="129">
        <f t="shared" si="65"/>
        <v>59</v>
      </c>
      <c r="H50" s="129">
        <f t="shared" si="65"/>
        <v>75</v>
      </c>
    </row>
    <row r="51" spans="1:8">
      <c r="A51" s="129" t="s">
        <v>50</v>
      </c>
      <c r="B51" s="129">
        <f t="shared" si="65"/>
        <v>6.9</v>
      </c>
      <c r="C51" s="129">
        <f t="shared" si="65"/>
        <v>350</v>
      </c>
      <c r="D51" s="129">
        <f t="shared" si="65"/>
        <v>297</v>
      </c>
      <c r="E51" s="129">
        <f t="shared" si="65"/>
        <v>1</v>
      </c>
      <c r="F51" s="129">
        <f t="shared" si="65"/>
        <v>4</v>
      </c>
      <c r="G51" s="129">
        <f t="shared" si="65"/>
        <v>0</v>
      </c>
      <c r="H51" s="129">
        <f t="shared" si="65"/>
        <v>292</v>
      </c>
    </row>
    <row r="52" spans="1:8">
      <c r="A52" s="129" t="s">
        <v>44</v>
      </c>
      <c r="B52" s="129">
        <f t="shared" ref="B52:H52" si="66">B51/B50*100</f>
        <v>86.25</v>
      </c>
      <c r="C52" s="129">
        <f t="shared" si="66"/>
        <v>106.06060606060606</v>
      </c>
      <c r="D52" s="129">
        <f t="shared" si="66"/>
        <v>120.24291497975707</v>
      </c>
      <c r="E52" s="129">
        <f t="shared" si="66"/>
        <v>6.25</v>
      </c>
      <c r="F52" s="129">
        <f t="shared" si="66"/>
        <v>4.1237113402061851</v>
      </c>
      <c r="G52" s="129">
        <f t="shared" si="66"/>
        <v>0</v>
      </c>
      <c r="H52" s="129">
        <f t="shared" si="66"/>
        <v>389.33333333333337</v>
      </c>
    </row>
    <row r="53" spans="1:8">
      <c r="A53" s="129" t="s">
        <v>13</v>
      </c>
      <c r="B53" s="129">
        <f t="shared" ref="B53:H55" si="67">K16+S16+AK16</f>
        <v>0</v>
      </c>
      <c r="C53" s="129">
        <f t="shared" si="67"/>
        <v>0</v>
      </c>
      <c r="D53" s="129">
        <f t="shared" si="67"/>
        <v>0</v>
      </c>
      <c r="E53" s="129">
        <f t="shared" si="67"/>
        <v>0</v>
      </c>
      <c r="F53" s="129">
        <f t="shared" si="67"/>
        <v>0</v>
      </c>
      <c r="G53" s="129">
        <f t="shared" si="67"/>
        <v>0</v>
      </c>
      <c r="H53" s="129">
        <f t="shared" si="67"/>
        <v>0</v>
      </c>
    </row>
    <row r="54" spans="1:8">
      <c r="A54" s="129" t="s">
        <v>14</v>
      </c>
      <c r="B54" s="129">
        <f t="shared" si="67"/>
        <v>0</v>
      </c>
      <c r="C54" s="129">
        <f t="shared" si="67"/>
        <v>0</v>
      </c>
      <c r="D54" s="129">
        <f t="shared" si="67"/>
        <v>0</v>
      </c>
      <c r="E54" s="129">
        <f t="shared" si="67"/>
        <v>0</v>
      </c>
      <c r="F54" s="129">
        <f t="shared" si="67"/>
        <v>0</v>
      </c>
      <c r="G54" s="129">
        <f t="shared" si="67"/>
        <v>0</v>
      </c>
      <c r="H54" s="129">
        <f t="shared" si="67"/>
        <v>0</v>
      </c>
    </row>
    <row r="55" spans="1:8">
      <c r="A55" s="129" t="s">
        <v>15</v>
      </c>
      <c r="B55" s="129">
        <f t="shared" si="67"/>
        <v>0</v>
      </c>
      <c r="C55" s="129">
        <f t="shared" si="67"/>
        <v>0</v>
      </c>
      <c r="D55" s="129">
        <f t="shared" si="67"/>
        <v>0</v>
      </c>
      <c r="E55" s="129">
        <f t="shared" si="67"/>
        <v>0</v>
      </c>
      <c r="F55" s="129">
        <f t="shared" si="67"/>
        <v>0</v>
      </c>
      <c r="G55" s="129">
        <f t="shared" si="67"/>
        <v>0</v>
      </c>
      <c r="H55" s="129">
        <f t="shared" si="67"/>
        <v>0</v>
      </c>
    </row>
    <row r="56" spans="1:8">
      <c r="A56" s="129" t="s">
        <v>16</v>
      </c>
      <c r="B56" s="129"/>
      <c r="C56" s="129"/>
      <c r="D56" s="129"/>
      <c r="E56" s="129"/>
      <c r="F56" s="129"/>
      <c r="G56" s="129"/>
      <c r="H56" s="129"/>
    </row>
    <row r="57" spans="1:8">
      <c r="A57" s="129" t="s">
        <v>40</v>
      </c>
      <c r="B57" s="129">
        <f t="shared" ref="B57:H58" si="68">K20+S20+AK20</f>
        <v>383.59999999999997</v>
      </c>
      <c r="C57" s="129">
        <f t="shared" si="68"/>
        <v>34272</v>
      </c>
      <c r="D57" s="129">
        <f t="shared" si="68"/>
        <v>30952</v>
      </c>
      <c r="E57" s="129">
        <f t="shared" si="68"/>
        <v>8966</v>
      </c>
      <c r="F57" s="129">
        <f t="shared" si="68"/>
        <v>8708</v>
      </c>
      <c r="G57" s="129">
        <f t="shared" si="68"/>
        <v>3626</v>
      </c>
      <c r="H57" s="129">
        <f t="shared" si="68"/>
        <v>9652</v>
      </c>
    </row>
    <row r="58" spans="1:8">
      <c r="A58" s="129" t="s">
        <v>50</v>
      </c>
      <c r="B58" s="129">
        <f t="shared" si="68"/>
        <v>333.7</v>
      </c>
      <c r="C58" s="129">
        <f t="shared" si="68"/>
        <v>32875</v>
      </c>
      <c r="D58" s="129">
        <f t="shared" si="68"/>
        <v>30913</v>
      </c>
      <c r="E58" s="129">
        <f t="shared" si="68"/>
        <v>10878</v>
      </c>
      <c r="F58" s="129">
        <f t="shared" si="68"/>
        <v>5988</v>
      </c>
      <c r="G58" s="129">
        <f t="shared" si="68"/>
        <v>1119</v>
      </c>
      <c r="H58" s="129">
        <f t="shared" si="68"/>
        <v>12928</v>
      </c>
    </row>
    <row r="59" spans="1:8">
      <c r="A59" s="129" t="s">
        <v>44</v>
      </c>
      <c r="B59" s="129">
        <f t="shared" ref="B59:H59" si="69">B58/B57*100</f>
        <v>86.991657977059447</v>
      </c>
      <c r="C59" s="129">
        <f t="shared" si="69"/>
        <v>95.923786181139121</v>
      </c>
      <c r="D59" s="129">
        <f t="shared" si="69"/>
        <v>99.873998449211683</v>
      </c>
      <c r="E59" s="129">
        <f t="shared" si="69"/>
        <v>121.3250055766228</v>
      </c>
      <c r="F59" s="129">
        <f t="shared" si="69"/>
        <v>68.764354616444649</v>
      </c>
      <c r="G59" s="129">
        <f t="shared" si="69"/>
        <v>30.860452289023716</v>
      </c>
      <c r="H59" s="129">
        <f t="shared" si="69"/>
        <v>133.94115209283052</v>
      </c>
    </row>
    <row r="60" spans="1:8">
      <c r="A60" s="129" t="s">
        <v>21</v>
      </c>
      <c r="B60" s="129">
        <f t="shared" ref="B60:H61" si="70">K23+S23+AK23</f>
        <v>0</v>
      </c>
      <c r="C60" s="129">
        <f t="shared" si="70"/>
        <v>0</v>
      </c>
      <c r="D60" s="129">
        <f t="shared" si="70"/>
        <v>0</v>
      </c>
      <c r="E60" s="129">
        <f t="shared" si="70"/>
        <v>0</v>
      </c>
      <c r="F60" s="129">
        <f t="shared" si="70"/>
        <v>0</v>
      </c>
      <c r="G60" s="129">
        <f t="shared" si="70"/>
        <v>0</v>
      </c>
      <c r="H60" s="129">
        <f t="shared" si="70"/>
        <v>0</v>
      </c>
    </row>
    <row r="61" spans="1:8">
      <c r="A61" s="129" t="s">
        <v>51</v>
      </c>
      <c r="B61" s="129">
        <f t="shared" si="70"/>
        <v>0</v>
      </c>
      <c r="C61" s="129">
        <f t="shared" si="70"/>
        <v>0</v>
      </c>
      <c r="D61" s="129">
        <f t="shared" si="70"/>
        <v>0</v>
      </c>
      <c r="E61" s="129">
        <f t="shared" si="70"/>
        <v>0</v>
      </c>
      <c r="F61" s="129">
        <f t="shared" si="70"/>
        <v>0</v>
      </c>
      <c r="G61" s="129">
        <f t="shared" si="70"/>
        <v>0</v>
      </c>
      <c r="H61" s="129">
        <f t="shared" si="70"/>
        <v>0</v>
      </c>
    </row>
    <row r="62" spans="1:8">
      <c r="A62" s="129" t="s">
        <v>12</v>
      </c>
      <c r="B62" s="129" t="e">
        <f t="shared" ref="B62:H62" si="71">B61/B60*100</f>
        <v>#DIV/0!</v>
      </c>
      <c r="C62" s="129" t="e">
        <f t="shared" si="71"/>
        <v>#DIV/0!</v>
      </c>
      <c r="D62" s="129" t="e">
        <f t="shared" si="71"/>
        <v>#DIV/0!</v>
      </c>
      <c r="E62" s="129" t="e">
        <f t="shared" si="71"/>
        <v>#DIV/0!</v>
      </c>
      <c r="F62" s="129" t="e">
        <f t="shared" si="71"/>
        <v>#DIV/0!</v>
      </c>
      <c r="G62" s="129" t="e">
        <f t="shared" si="71"/>
        <v>#DIV/0!</v>
      </c>
      <c r="H62" s="129" t="e">
        <f t="shared" si="71"/>
        <v>#DIV/0!</v>
      </c>
    </row>
    <row r="63" spans="1:8">
      <c r="A63" s="129" t="s">
        <v>23</v>
      </c>
      <c r="B63" s="129">
        <f t="shared" ref="B63:H64" si="72">K26+S26+AK26</f>
        <v>35.299999999999997</v>
      </c>
      <c r="C63" s="129">
        <f t="shared" si="72"/>
        <v>967</v>
      </c>
      <c r="D63" s="129">
        <f t="shared" si="72"/>
        <v>775</v>
      </c>
      <c r="E63" s="129">
        <f t="shared" si="72"/>
        <v>72</v>
      </c>
      <c r="F63" s="129">
        <f t="shared" si="72"/>
        <v>258</v>
      </c>
      <c r="G63" s="129">
        <f t="shared" si="72"/>
        <v>113</v>
      </c>
      <c r="H63" s="129">
        <f t="shared" si="72"/>
        <v>332</v>
      </c>
    </row>
    <row r="64" spans="1:8">
      <c r="A64" s="129" t="s">
        <v>45</v>
      </c>
      <c r="B64" s="129">
        <f t="shared" si="72"/>
        <v>27.3</v>
      </c>
      <c r="C64" s="129">
        <f t="shared" si="72"/>
        <v>760</v>
      </c>
      <c r="D64" s="129">
        <f t="shared" si="72"/>
        <v>688</v>
      </c>
      <c r="E64" s="129">
        <f t="shared" si="72"/>
        <v>45</v>
      </c>
      <c r="F64" s="129">
        <f t="shared" si="72"/>
        <v>122</v>
      </c>
      <c r="G64" s="129">
        <f t="shared" si="72"/>
        <v>1</v>
      </c>
      <c r="H64" s="129">
        <f t="shared" si="72"/>
        <v>520</v>
      </c>
    </row>
    <row r="65" spans="1:8">
      <c r="A65" s="129" t="s">
        <v>12</v>
      </c>
      <c r="B65" s="129">
        <f t="shared" ref="B65:H65" si="73">B64/B63*100</f>
        <v>77.337110481586407</v>
      </c>
      <c r="C65" s="129">
        <f t="shared" si="73"/>
        <v>78.593588417786975</v>
      </c>
      <c r="D65" s="129">
        <f t="shared" si="73"/>
        <v>88.774193548387089</v>
      </c>
      <c r="E65" s="129">
        <f t="shared" si="73"/>
        <v>62.5</v>
      </c>
      <c r="F65" s="129">
        <f t="shared" si="73"/>
        <v>47.286821705426355</v>
      </c>
      <c r="G65" s="129">
        <f t="shared" si="73"/>
        <v>0.88495575221238942</v>
      </c>
      <c r="H65" s="129">
        <f t="shared" si="73"/>
        <v>156.62650602409639</v>
      </c>
    </row>
    <row r="66" spans="1:8">
      <c r="A66" s="129" t="s">
        <v>25</v>
      </c>
      <c r="B66" s="129">
        <f t="shared" ref="B66:H67" si="74">K29+S29+AK29</f>
        <v>38.400000000000006</v>
      </c>
      <c r="C66" s="129">
        <f t="shared" si="74"/>
        <v>1062</v>
      </c>
      <c r="D66" s="129">
        <f t="shared" si="74"/>
        <v>840</v>
      </c>
      <c r="E66" s="129">
        <f t="shared" si="74"/>
        <v>87</v>
      </c>
      <c r="F66" s="129">
        <f t="shared" si="74"/>
        <v>327</v>
      </c>
      <c r="G66" s="129">
        <f t="shared" si="74"/>
        <v>82</v>
      </c>
      <c r="H66" s="129">
        <f t="shared" si="74"/>
        <v>344</v>
      </c>
    </row>
    <row r="67" spans="1:8">
      <c r="A67" s="129" t="s">
        <v>46</v>
      </c>
      <c r="B67" s="129">
        <f t="shared" si="74"/>
        <v>40</v>
      </c>
      <c r="C67" s="129">
        <f t="shared" si="74"/>
        <v>1070</v>
      </c>
      <c r="D67" s="129">
        <f t="shared" si="74"/>
        <v>980</v>
      </c>
      <c r="E67" s="129">
        <f t="shared" si="74"/>
        <v>71</v>
      </c>
      <c r="F67" s="129">
        <f t="shared" si="74"/>
        <v>32</v>
      </c>
      <c r="G67" s="129">
        <f t="shared" si="74"/>
        <v>2</v>
      </c>
      <c r="H67" s="129">
        <f t="shared" si="74"/>
        <v>875</v>
      </c>
    </row>
    <row r="68" spans="1:8">
      <c r="A68" s="129" t="s">
        <v>12</v>
      </c>
      <c r="B68" s="129">
        <f t="shared" ref="B68:H68" si="75">B67/B66*100</f>
        <v>104.16666666666666</v>
      </c>
      <c r="C68" s="129">
        <f t="shared" si="75"/>
        <v>100.75329566854991</v>
      </c>
      <c r="D68" s="129">
        <f t="shared" si="75"/>
        <v>116.66666666666667</v>
      </c>
      <c r="E68" s="129">
        <f t="shared" si="75"/>
        <v>81.609195402298852</v>
      </c>
      <c r="F68" s="129">
        <f t="shared" si="75"/>
        <v>9.7859327217125376</v>
      </c>
      <c r="G68" s="129">
        <f t="shared" si="75"/>
        <v>2.4390243902439024</v>
      </c>
      <c r="H68" s="129">
        <f t="shared" si="75"/>
        <v>254.36046511627904</v>
      </c>
    </row>
    <row r="69" spans="1:8">
      <c r="A69" s="129" t="s">
        <v>27</v>
      </c>
      <c r="B69" s="129">
        <f t="shared" ref="B69:H70" si="76">K32+S32+AK32</f>
        <v>33.699999999999996</v>
      </c>
      <c r="C69" s="129">
        <f t="shared" si="76"/>
        <v>9135</v>
      </c>
      <c r="D69" s="129">
        <f t="shared" si="76"/>
        <v>8878</v>
      </c>
      <c r="E69" s="129">
        <f t="shared" si="76"/>
        <v>5481</v>
      </c>
      <c r="F69" s="129">
        <f t="shared" si="76"/>
        <v>1644</v>
      </c>
      <c r="G69" s="129">
        <f t="shared" si="76"/>
        <v>457</v>
      </c>
      <c r="H69" s="129">
        <f t="shared" si="76"/>
        <v>1296</v>
      </c>
    </row>
    <row r="70" spans="1:8">
      <c r="A70" s="129" t="s">
        <v>47</v>
      </c>
      <c r="B70" s="129">
        <f t="shared" si="76"/>
        <v>30.2</v>
      </c>
      <c r="C70" s="129">
        <f t="shared" si="76"/>
        <v>10400</v>
      </c>
      <c r="D70" s="129">
        <f t="shared" si="76"/>
        <v>10280</v>
      </c>
      <c r="E70" s="129">
        <f t="shared" si="76"/>
        <v>8165</v>
      </c>
      <c r="F70" s="129">
        <f t="shared" si="76"/>
        <v>1138</v>
      </c>
      <c r="G70" s="129">
        <f t="shared" si="76"/>
        <v>82</v>
      </c>
      <c r="H70" s="129">
        <f t="shared" si="76"/>
        <v>895</v>
      </c>
    </row>
    <row r="71" spans="1:8">
      <c r="A71" s="129" t="s">
        <v>12</v>
      </c>
      <c r="B71" s="129">
        <f t="shared" ref="B71:H71" si="77">B70/B69*100</f>
        <v>89.614243323442139</v>
      </c>
      <c r="C71" s="129">
        <f t="shared" si="77"/>
        <v>113.84783798576903</v>
      </c>
      <c r="D71" s="129">
        <f t="shared" si="77"/>
        <v>115.79184501013742</v>
      </c>
      <c r="E71" s="129">
        <f t="shared" si="77"/>
        <v>148.96916621054552</v>
      </c>
      <c r="F71" s="129">
        <f t="shared" si="77"/>
        <v>69.221411192214106</v>
      </c>
      <c r="G71" s="129">
        <f t="shared" si="77"/>
        <v>17.943107221006567</v>
      </c>
      <c r="H71" s="129">
        <f t="shared" si="77"/>
        <v>69.058641975308646</v>
      </c>
    </row>
    <row r="72" spans="1:8">
      <c r="A72" s="129" t="s">
        <v>29</v>
      </c>
      <c r="B72" s="129">
        <f t="shared" ref="B72:H73" si="78">K35+S35+AK35</f>
        <v>86</v>
      </c>
      <c r="C72" s="129">
        <f t="shared" si="78"/>
        <v>8139</v>
      </c>
      <c r="D72" s="129">
        <f t="shared" si="78"/>
        <v>7663</v>
      </c>
      <c r="E72" s="129">
        <f t="shared" si="78"/>
        <v>326</v>
      </c>
      <c r="F72" s="129">
        <f t="shared" si="78"/>
        <v>2281</v>
      </c>
      <c r="G72" s="129">
        <f t="shared" si="78"/>
        <v>1223</v>
      </c>
      <c r="H72" s="129">
        <f t="shared" si="78"/>
        <v>3833</v>
      </c>
    </row>
    <row r="73" spans="1:8">
      <c r="A73" s="129" t="s">
        <v>48</v>
      </c>
      <c r="B73" s="129">
        <f t="shared" si="78"/>
        <v>50.099999999999994</v>
      </c>
      <c r="C73" s="129">
        <f t="shared" si="78"/>
        <v>7460</v>
      </c>
      <c r="D73" s="129">
        <f t="shared" si="78"/>
        <v>7044</v>
      </c>
      <c r="E73" s="129">
        <f t="shared" si="78"/>
        <v>55</v>
      </c>
      <c r="F73" s="129">
        <f t="shared" si="78"/>
        <v>2801</v>
      </c>
      <c r="G73" s="129">
        <f t="shared" si="78"/>
        <v>720</v>
      </c>
      <c r="H73" s="129">
        <f t="shared" si="78"/>
        <v>3468</v>
      </c>
    </row>
    <row r="74" spans="1:8">
      <c r="A74" s="129" t="s">
        <v>12</v>
      </c>
      <c r="B74" s="129">
        <f t="shared" ref="B74:H74" si="79">B73/B72*100</f>
        <v>58.255813953488364</v>
      </c>
      <c r="C74" s="129">
        <f t="shared" si="79"/>
        <v>91.657451775402393</v>
      </c>
      <c r="D74" s="129">
        <f t="shared" si="79"/>
        <v>91.922223672191052</v>
      </c>
      <c r="E74" s="129">
        <f t="shared" si="79"/>
        <v>16.871165644171779</v>
      </c>
      <c r="F74" s="129">
        <f t="shared" si="79"/>
        <v>122.79701885138097</v>
      </c>
      <c r="G74" s="129">
        <f t="shared" si="79"/>
        <v>58.871627146361405</v>
      </c>
      <c r="H74" s="129">
        <f t="shared" si="79"/>
        <v>90.477432820245241</v>
      </c>
    </row>
    <row r="75" spans="1:8">
      <c r="A75" s="129" t="s">
        <v>31</v>
      </c>
      <c r="B75" s="129">
        <f t="shared" ref="B75:H76" si="80">K38+S38+AK38</f>
        <v>190.20000000000002</v>
      </c>
      <c r="C75" s="129">
        <f t="shared" si="80"/>
        <v>14969</v>
      </c>
      <c r="D75" s="129">
        <f t="shared" si="80"/>
        <v>12796</v>
      </c>
      <c r="E75" s="129">
        <f t="shared" si="80"/>
        <v>3000</v>
      </c>
      <c r="F75" s="129">
        <f t="shared" si="80"/>
        <v>4198</v>
      </c>
      <c r="G75" s="129">
        <f t="shared" si="80"/>
        <v>1751</v>
      </c>
      <c r="H75" s="129">
        <f t="shared" si="80"/>
        <v>3847</v>
      </c>
    </row>
    <row r="76" spans="1:8">
      <c r="A76" s="129" t="s">
        <v>52</v>
      </c>
      <c r="B76" s="129">
        <f t="shared" si="80"/>
        <v>186.1</v>
      </c>
      <c r="C76" s="129">
        <f t="shared" si="80"/>
        <v>13185</v>
      </c>
      <c r="D76" s="129">
        <f t="shared" si="80"/>
        <v>11921</v>
      </c>
      <c r="E76" s="129">
        <f t="shared" si="80"/>
        <v>2542</v>
      </c>
      <c r="F76" s="129">
        <f t="shared" si="80"/>
        <v>1895</v>
      </c>
      <c r="G76" s="129">
        <f t="shared" si="80"/>
        <v>314</v>
      </c>
      <c r="H76" s="129">
        <f t="shared" si="80"/>
        <v>7170</v>
      </c>
    </row>
    <row r="77" spans="1:8">
      <c r="A77" s="129" t="s">
        <v>12</v>
      </c>
      <c r="B77" s="129">
        <f t="shared" ref="B77:H77" si="81">B76/B75*100</f>
        <v>97.844374342797053</v>
      </c>
      <c r="C77" s="129">
        <f t="shared" si="81"/>
        <v>88.082036208163544</v>
      </c>
      <c r="D77" s="129">
        <f t="shared" si="81"/>
        <v>93.161925601750553</v>
      </c>
      <c r="E77" s="129">
        <f t="shared" si="81"/>
        <v>84.733333333333334</v>
      </c>
      <c r="F77" s="129">
        <f t="shared" si="81"/>
        <v>45.140543115769418</v>
      </c>
      <c r="G77" s="129">
        <f t="shared" si="81"/>
        <v>17.932609937178757</v>
      </c>
      <c r="H77" s="129">
        <f t="shared" si="81"/>
        <v>186.37899662074344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2">B9-B46</f>
        <v>0</v>
      </c>
      <c r="C83" s="83">
        <f t="shared" si="82"/>
        <v>0</v>
      </c>
      <c r="D83" s="83">
        <f t="shared" si="82"/>
        <v>0</v>
      </c>
      <c r="E83" s="83">
        <f t="shared" si="82"/>
        <v>0</v>
      </c>
      <c r="F83" s="83">
        <f t="shared" si="82"/>
        <v>0</v>
      </c>
      <c r="G83" s="83">
        <f t="shared" si="82"/>
        <v>0</v>
      </c>
      <c r="H83" s="83">
        <f t="shared" si="82"/>
        <v>0</v>
      </c>
    </row>
    <row r="84" spans="1:8">
      <c r="A84" s="84" t="s">
        <v>50</v>
      </c>
      <c r="B84" s="83">
        <f t="shared" si="82"/>
        <v>0</v>
      </c>
      <c r="C84" s="83">
        <f t="shared" si="82"/>
        <v>0</v>
      </c>
      <c r="D84" s="83">
        <f t="shared" si="82"/>
        <v>0</v>
      </c>
      <c r="E84" s="83">
        <f t="shared" si="82"/>
        <v>0</v>
      </c>
      <c r="F84" s="83">
        <f t="shared" si="82"/>
        <v>0</v>
      </c>
      <c r="G84" s="83">
        <f t="shared" si="82"/>
        <v>0</v>
      </c>
      <c r="H84" s="83">
        <f t="shared" si="82"/>
        <v>0</v>
      </c>
    </row>
    <row r="85" spans="1:8">
      <c r="A85" s="85" t="s">
        <v>44</v>
      </c>
      <c r="B85" s="83">
        <f t="shared" si="82"/>
        <v>0</v>
      </c>
      <c r="C85" s="83">
        <f t="shared" si="82"/>
        <v>0</v>
      </c>
      <c r="D85" s="83">
        <f t="shared" si="82"/>
        <v>0</v>
      </c>
      <c r="E85" s="83">
        <f t="shared" si="82"/>
        <v>0</v>
      </c>
      <c r="F85" s="83">
        <f t="shared" si="82"/>
        <v>0</v>
      </c>
      <c r="G85" s="83">
        <f t="shared" si="82"/>
        <v>0</v>
      </c>
      <c r="H85" s="83">
        <f t="shared" si="82"/>
        <v>0</v>
      </c>
    </row>
    <row r="86" spans="1:8">
      <c r="A86" s="87" t="s">
        <v>11</v>
      </c>
      <c r="B86" s="83">
        <f t="shared" si="82"/>
        <v>0</v>
      </c>
      <c r="C86" s="83">
        <f t="shared" si="82"/>
        <v>0</v>
      </c>
      <c r="D86" s="83">
        <f t="shared" si="82"/>
        <v>0</v>
      </c>
      <c r="E86" s="83">
        <f t="shared" si="82"/>
        <v>0</v>
      </c>
      <c r="F86" s="83">
        <f t="shared" si="82"/>
        <v>0</v>
      </c>
      <c r="G86" s="83">
        <f t="shared" si="82"/>
        <v>0</v>
      </c>
      <c r="H86" s="83">
        <f t="shared" si="82"/>
        <v>0</v>
      </c>
    </row>
    <row r="87" spans="1:8">
      <c r="A87" s="75" t="s">
        <v>40</v>
      </c>
      <c r="B87" s="83">
        <f t="shared" si="82"/>
        <v>0</v>
      </c>
      <c r="C87" s="83">
        <f t="shared" si="82"/>
        <v>0</v>
      </c>
      <c r="D87" s="83">
        <f t="shared" si="82"/>
        <v>0</v>
      </c>
      <c r="E87" s="83">
        <f t="shared" si="82"/>
        <v>0</v>
      </c>
      <c r="F87" s="83">
        <f t="shared" si="82"/>
        <v>0</v>
      </c>
      <c r="G87" s="83">
        <f t="shared" si="82"/>
        <v>0</v>
      </c>
      <c r="H87" s="83">
        <f t="shared" si="82"/>
        <v>0</v>
      </c>
    </row>
    <row r="88" spans="1:8">
      <c r="A88" s="75" t="s">
        <v>50</v>
      </c>
      <c r="B88" s="83">
        <f t="shared" si="82"/>
        <v>0</v>
      </c>
      <c r="C88" s="83">
        <f t="shared" si="82"/>
        <v>0</v>
      </c>
      <c r="D88" s="83">
        <f t="shared" si="82"/>
        <v>0</v>
      </c>
      <c r="E88" s="83">
        <f t="shared" si="82"/>
        <v>0</v>
      </c>
      <c r="F88" s="83">
        <f t="shared" si="82"/>
        <v>0</v>
      </c>
      <c r="G88" s="83">
        <f t="shared" si="82"/>
        <v>0</v>
      </c>
      <c r="H88" s="83">
        <f t="shared" si="82"/>
        <v>0</v>
      </c>
    </row>
    <row r="89" spans="1:8">
      <c r="A89" s="75" t="s">
        <v>44</v>
      </c>
      <c r="B89" s="83">
        <f t="shared" si="82"/>
        <v>0</v>
      </c>
      <c r="C89" s="83">
        <f t="shared" si="82"/>
        <v>0</v>
      </c>
      <c r="D89" s="83">
        <f t="shared" si="82"/>
        <v>0</v>
      </c>
      <c r="E89" s="83">
        <f t="shared" si="82"/>
        <v>0</v>
      </c>
      <c r="F89" s="83">
        <f t="shared" si="82"/>
        <v>0</v>
      </c>
      <c r="G89" s="83">
        <f t="shared" si="82"/>
        <v>0</v>
      </c>
      <c r="H89" s="83">
        <f t="shared" si="82"/>
        <v>0</v>
      </c>
    </row>
    <row r="90" spans="1:8">
      <c r="A90" s="75" t="s">
        <v>13</v>
      </c>
      <c r="B90" s="83">
        <f t="shared" si="82"/>
        <v>0</v>
      </c>
      <c r="C90" s="83">
        <f t="shared" si="82"/>
        <v>0</v>
      </c>
      <c r="D90" s="83">
        <f t="shared" si="82"/>
        <v>0</v>
      </c>
      <c r="E90" s="83">
        <f t="shared" si="82"/>
        <v>0</v>
      </c>
      <c r="F90" s="83">
        <f t="shared" si="82"/>
        <v>0</v>
      </c>
      <c r="G90" s="83">
        <f t="shared" si="82"/>
        <v>0</v>
      </c>
      <c r="H90" s="83">
        <f t="shared" si="82"/>
        <v>0</v>
      </c>
    </row>
    <row r="91" spans="1:8">
      <c r="A91" s="92" t="s">
        <v>14</v>
      </c>
      <c r="B91" s="83">
        <f t="shared" si="82"/>
        <v>0</v>
      </c>
      <c r="C91" s="83">
        <f t="shared" si="82"/>
        <v>0</v>
      </c>
      <c r="D91" s="83">
        <f t="shared" si="82"/>
        <v>0</v>
      </c>
      <c r="E91" s="83">
        <f t="shared" si="82"/>
        <v>0</v>
      </c>
      <c r="F91" s="83">
        <f t="shared" si="82"/>
        <v>0</v>
      </c>
      <c r="G91" s="83">
        <f t="shared" si="82"/>
        <v>0</v>
      </c>
      <c r="H91" s="83">
        <f t="shared" si="82"/>
        <v>0</v>
      </c>
    </row>
    <row r="92" spans="1:8">
      <c r="A92" s="75" t="s">
        <v>15</v>
      </c>
      <c r="B92" s="83">
        <f t="shared" si="82"/>
        <v>0</v>
      </c>
      <c r="C92" s="83">
        <f t="shared" si="82"/>
        <v>0</v>
      </c>
      <c r="D92" s="83">
        <f t="shared" si="82"/>
        <v>0</v>
      </c>
      <c r="E92" s="83">
        <f t="shared" si="82"/>
        <v>0</v>
      </c>
      <c r="F92" s="83">
        <f t="shared" si="82"/>
        <v>0</v>
      </c>
      <c r="G92" s="83">
        <f t="shared" si="82"/>
        <v>0</v>
      </c>
      <c r="H92" s="83">
        <f t="shared" si="82"/>
        <v>0</v>
      </c>
    </row>
    <row r="93" spans="1:8">
      <c r="A93" s="87" t="s">
        <v>16</v>
      </c>
      <c r="B93" s="83">
        <f t="shared" si="82"/>
        <v>0</v>
      </c>
      <c r="C93" s="83">
        <f t="shared" si="82"/>
        <v>0</v>
      </c>
      <c r="D93" s="83">
        <f t="shared" si="82"/>
        <v>0</v>
      </c>
      <c r="E93" s="83">
        <f t="shared" si="82"/>
        <v>0</v>
      </c>
      <c r="F93" s="83">
        <f t="shared" si="82"/>
        <v>0</v>
      </c>
      <c r="G93" s="83">
        <f t="shared" si="82"/>
        <v>0</v>
      </c>
      <c r="H93" s="83">
        <f t="shared" si="82"/>
        <v>0</v>
      </c>
    </row>
    <row r="94" spans="1:8">
      <c r="A94" s="75" t="s">
        <v>40</v>
      </c>
      <c r="B94" s="83">
        <f t="shared" si="82"/>
        <v>0</v>
      </c>
      <c r="C94" s="83">
        <f t="shared" si="82"/>
        <v>0</v>
      </c>
      <c r="D94" s="83">
        <f t="shared" si="82"/>
        <v>0</v>
      </c>
      <c r="E94" s="83">
        <f t="shared" si="82"/>
        <v>0</v>
      </c>
      <c r="F94" s="83">
        <f t="shared" si="82"/>
        <v>0</v>
      </c>
      <c r="G94" s="83">
        <f t="shared" si="82"/>
        <v>0</v>
      </c>
      <c r="H94" s="83">
        <f t="shared" si="82"/>
        <v>0</v>
      </c>
    </row>
    <row r="95" spans="1:8">
      <c r="A95" s="92" t="s">
        <v>50</v>
      </c>
      <c r="B95" s="83">
        <f t="shared" si="82"/>
        <v>0</v>
      </c>
      <c r="C95" s="83">
        <f t="shared" si="82"/>
        <v>0</v>
      </c>
      <c r="D95" s="83">
        <f t="shared" si="82"/>
        <v>0</v>
      </c>
      <c r="E95" s="83">
        <f t="shared" si="82"/>
        <v>0</v>
      </c>
      <c r="F95" s="83">
        <f t="shared" si="82"/>
        <v>0</v>
      </c>
      <c r="G95" s="83">
        <f t="shared" si="82"/>
        <v>0</v>
      </c>
      <c r="H95" s="83">
        <f t="shared" si="82"/>
        <v>0</v>
      </c>
    </row>
    <row r="96" spans="1:8">
      <c r="A96" s="75" t="s">
        <v>44</v>
      </c>
      <c r="B96" s="83">
        <f t="shared" si="82"/>
        <v>0</v>
      </c>
      <c r="C96" s="83">
        <f t="shared" si="82"/>
        <v>0</v>
      </c>
      <c r="D96" s="83">
        <f t="shared" si="82"/>
        <v>0</v>
      </c>
      <c r="E96" s="83">
        <f t="shared" si="82"/>
        <v>0</v>
      </c>
      <c r="F96" s="83">
        <f t="shared" si="82"/>
        <v>0</v>
      </c>
      <c r="G96" s="83">
        <f t="shared" si="82"/>
        <v>0</v>
      </c>
      <c r="H96" s="83">
        <f t="shared" si="82"/>
        <v>0</v>
      </c>
    </row>
    <row r="97" spans="1:8">
      <c r="A97" s="75" t="s">
        <v>21</v>
      </c>
      <c r="B97" s="83">
        <f t="shared" si="82"/>
        <v>0</v>
      </c>
      <c r="C97" s="83">
        <f t="shared" si="82"/>
        <v>0</v>
      </c>
      <c r="D97" s="83">
        <f t="shared" si="82"/>
        <v>0</v>
      </c>
      <c r="E97" s="83">
        <f t="shared" si="82"/>
        <v>0</v>
      </c>
      <c r="F97" s="83">
        <f t="shared" si="82"/>
        <v>0</v>
      </c>
      <c r="G97" s="83">
        <f t="shared" si="82"/>
        <v>0</v>
      </c>
      <c r="H97" s="83">
        <f t="shared" si="82"/>
        <v>0</v>
      </c>
    </row>
    <row r="98" spans="1:8">
      <c r="A98" s="75" t="s">
        <v>51</v>
      </c>
      <c r="B98" s="83">
        <f t="shared" si="82"/>
        <v>0</v>
      </c>
      <c r="C98" s="83">
        <f t="shared" si="82"/>
        <v>0</v>
      </c>
      <c r="D98" s="83">
        <f t="shared" si="82"/>
        <v>0</v>
      </c>
      <c r="E98" s="83">
        <f t="shared" si="82"/>
        <v>0</v>
      </c>
      <c r="F98" s="83">
        <f t="shared" si="82"/>
        <v>0</v>
      </c>
      <c r="G98" s="83">
        <f t="shared" si="82"/>
        <v>0</v>
      </c>
      <c r="H98" s="83">
        <f t="shared" si="82"/>
        <v>0</v>
      </c>
    </row>
    <row r="99" spans="1:8">
      <c r="A99" s="75" t="s">
        <v>12</v>
      </c>
      <c r="B99" s="83" t="e">
        <f t="shared" ref="B99:H114" si="83">B25-B62</f>
        <v>#DIV/0!</v>
      </c>
      <c r="C99" s="83" t="e">
        <f t="shared" si="83"/>
        <v>#DIV/0!</v>
      </c>
      <c r="D99" s="83" t="e">
        <f t="shared" si="83"/>
        <v>#DIV/0!</v>
      </c>
      <c r="E99" s="83" t="e">
        <f t="shared" si="83"/>
        <v>#DIV/0!</v>
      </c>
      <c r="F99" s="83" t="e">
        <f t="shared" si="83"/>
        <v>#DIV/0!</v>
      </c>
      <c r="G99" s="83" t="e">
        <f t="shared" si="83"/>
        <v>#DIV/0!</v>
      </c>
      <c r="H99" s="83" t="e">
        <f t="shared" si="83"/>
        <v>#DIV/0!</v>
      </c>
    </row>
    <row r="100" spans="1:8">
      <c r="A100" s="75" t="s">
        <v>23</v>
      </c>
      <c r="B100" s="83">
        <f t="shared" si="83"/>
        <v>0</v>
      </c>
      <c r="C100" s="83">
        <f t="shared" si="83"/>
        <v>0</v>
      </c>
      <c r="D100" s="83">
        <f t="shared" si="83"/>
        <v>0</v>
      </c>
      <c r="E100" s="83">
        <f t="shared" si="83"/>
        <v>0</v>
      </c>
      <c r="F100" s="83">
        <f t="shared" si="83"/>
        <v>0</v>
      </c>
      <c r="G100" s="83">
        <f t="shared" si="83"/>
        <v>0</v>
      </c>
      <c r="H100" s="83">
        <f t="shared" si="83"/>
        <v>0</v>
      </c>
    </row>
    <row r="101" spans="1:8">
      <c r="A101" s="75" t="s">
        <v>45</v>
      </c>
      <c r="B101" s="83">
        <f t="shared" si="83"/>
        <v>0</v>
      </c>
      <c r="C101" s="83">
        <f t="shared" si="83"/>
        <v>0</v>
      </c>
      <c r="D101" s="83">
        <f t="shared" si="83"/>
        <v>0</v>
      </c>
      <c r="E101" s="83">
        <f t="shared" si="83"/>
        <v>0</v>
      </c>
      <c r="F101" s="83">
        <f t="shared" si="83"/>
        <v>0</v>
      </c>
      <c r="G101" s="83">
        <f t="shared" si="83"/>
        <v>0</v>
      </c>
      <c r="H101" s="83">
        <f t="shared" si="83"/>
        <v>0</v>
      </c>
    </row>
    <row r="102" spans="1:8">
      <c r="A102" s="75" t="s">
        <v>12</v>
      </c>
      <c r="B102" s="83">
        <f t="shared" si="83"/>
        <v>0</v>
      </c>
      <c r="C102" s="83">
        <f t="shared" si="83"/>
        <v>0</v>
      </c>
      <c r="D102" s="83">
        <f t="shared" si="83"/>
        <v>0</v>
      </c>
      <c r="E102" s="83">
        <f t="shared" si="83"/>
        <v>0</v>
      </c>
      <c r="F102" s="83">
        <f t="shared" si="83"/>
        <v>0</v>
      </c>
      <c r="G102" s="83">
        <f t="shared" si="83"/>
        <v>0</v>
      </c>
      <c r="H102" s="83">
        <f t="shared" si="83"/>
        <v>0</v>
      </c>
    </row>
    <row r="103" spans="1:8">
      <c r="A103" s="75" t="s">
        <v>25</v>
      </c>
      <c r="B103" s="83">
        <f t="shared" si="83"/>
        <v>0</v>
      </c>
      <c r="C103" s="83">
        <f t="shared" si="83"/>
        <v>0</v>
      </c>
      <c r="D103" s="83">
        <f t="shared" si="83"/>
        <v>0</v>
      </c>
      <c r="E103" s="83">
        <f t="shared" si="83"/>
        <v>0</v>
      </c>
      <c r="F103" s="83">
        <f t="shared" si="83"/>
        <v>0</v>
      </c>
      <c r="G103" s="83">
        <f t="shared" si="83"/>
        <v>0</v>
      </c>
      <c r="H103" s="83">
        <f t="shared" si="83"/>
        <v>0</v>
      </c>
    </row>
    <row r="104" spans="1:8">
      <c r="A104" s="75" t="s">
        <v>46</v>
      </c>
      <c r="B104" s="83">
        <f t="shared" si="83"/>
        <v>0</v>
      </c>
      <c r="C104" s="83">
        <f t="shared" si="83"/>
        <v>0</v>
      </c>
      <c r="D104" s="83">
        <f t="shared" si="83"/>
        <v>0</v>
      </c>
      <c r="E104" s="83">
        <f t="shared" si="83"/>
        <v>0</v>
      </c>
      <c r="F104" s="83">
        <f t="shared" si="83"/>
        <v>0</v>
      </c>
      <c r="G104" s="83">
        <f t="shared" si="83"/>
        <v>0</v>
      </c>
      <c r="H104" s="83">
        <f t="shared" si="83"/>
        <v>0</v>
      </c>
    </row>
    <row r="105" spans="1:8">
      <c r="A105" s="75" t="s">
        <v>12</v>
      </c>
      <c r="B105" s="83">
        <f t="shared" si="83"/>
        <v>0</v>
      </c>
      <c r="C105" s="83">
        <f t="shared" si="83"/>
        <v>0</v>
      </c>
      <c r="D105" s="83">
        <f t="shared" si="83"/>
        <v>0</v>
      </c>
      <c r="E105" s="83">
        <f t="shared" si="83"/>
        <v>0</v>
      </c>
      <c r="F105" s="83">
        <f t="shared" si="83"/>
        <v>0</v>
      </c>
      <c r="G105" s="83">
        <f t="shared" si="83"/>
        <v>0</v>
      </c>
      <c r="H105" s="83">
        <f t="shared" si="83"/>
        <v>0</v>
      </c>
    </row>
    <row r="106" spans="1:8">
      <c r="A106" s="75" t="s">
        <v>27</v>
      </c>
      <c r="B106" s="83">
        <f t="shared" si="83"/>
        <v>0</v>
      </c>
      <c r="C106" s="83">
        <f t="shared" si="83"/>
        <v>0</v>
      </c>
      <c r="D106" s="83">
        <f t="shared" si="83"/>
        <v>0</v>
      </c>
      <c r="E106" s="83">
        <f t="shared" si="83"/>
        <v>0</v>
      </c>
      <c r="F106" s="83">
        <f t="shared" si="83"/>
        <v>0</v>
      </c>
      <c r="G106" s="83">
        <f t="shared" si="83"/>
        <v>0</v>
      </c>
      <c r="H106" s="83">
        <f t="shared" si="83"/>
        <v>0</v>
      </c>
    </row>
    <row r="107" spans="1:8">
      <c r="A107" s="75" t="s">
        <v>47</v>
      </c>
      <c r="B107" s="83">
        <f t="shared" si="83"/>
        <v>0</v>
      </c>
      <c r="C107" s="83">
        <f t="shared" si="83"/>
        <v>0</v>
      </c>
      <c r="D107" s="83">
        <f t="shared" si="83"/>
        <v>0</v>
      </c>
      <c r="E107" s="83">
        <f t="shared" si="83"/>
        <v>0</v>
      </c>
      <c r="F107" s="83">
        <f t="shared" si="83"/>
        <v>0</v>
      </c>
      <c r="G107" s="83">
        <f t="shared" si="83"/>
        <v>0</v>
      </c>
      <c r="H107" s="83">
        <f t="shared" si="83"/>
        <v>0</v>
      </c>
    </row>
    <row r="108" spans="1:8">
      <c r="A108" s="75" t="s">
        <v>12</v>
      </c>
      <c r="B108" s="83">
        <f t="shared" si="83"/>
        <v>0</v>
      </c>
      <c r="C108" s="83">
        <f t="shared" si="83"/>
        <v>0</v>
      </c>
      <c r="D108" s="83">
        <f t="shared" si="83"/>
        <v>0</v>
      </c>
      <c r="E108" s="83">
        <f t="shared" si="83"/>
        <v>0</v>
      </c>
      <c r="F108" s="83">
        <f t="shared" si="83"/>
        <v>0</v>
      </c>
      <c r="G108" s="83">
        <f t="shared" si="83"/>
        <v>0</v>
      </c>
      <c r="H108" s="83">
        <f t="shared" si="83"/>
        <v>0</v>
      </c>
    </row>
    <row r="109" spans="1:8">
      <c r="A109" s="75" t="s">
        <v>29</v>
      </c>
      <c r="B109" s="83">
        <f t="shared" si="83"/>
        <v>0</v>
      </c>
      <c r="C109" s="83">
        <f t="shared" si="83"/>
        <v>0</v>
      </c>
      <c r="D109" s="83">
        <f t="shared" si="83"/>
        <v>0</v>
      </c>
      <c r="E109" s="83">
        <f t="shared" si="83"/>
        <v>0</v>
      </c>
      <c r="F109" s="83">
        <f t="shared" si="83"/>
        <v>0</v>
      </c>
      <c r="G109" s="83">
        <f t="shared" si="83"/>
        <v>0</v>
      </c>
      <c r="H109" s="83">
        <f t="shared" si="83"/>
        <v>0</v>
      </c>
    </row>
    <row r="110" spans="1:8">
      <c r="A110" s="75" t="s">
        <v>48</v>
      </c>
      <c r="B110" s="83">
        <f t="shared" si="83"/>
        <v>0</v>
      </c>
      <c r="C110" s="83">
        <f t="shared" si="83"/>
        <v>0</v>
      </c>
      <c r="D110" s="83">
        <f t="shared" si="83"/>
        <v>0</v>
      </c>
      <c r="E110" s="83">
        <f t="shared" si="83"/>
        <v>0</v>
      </c>
      <c r="F110" s="83">
        <f t="shared" si="83"/>
        <v>0</v>
      </c>
      <c r="G110" s="83">
        <f t="shared" si="83"/>
        <v>0</v>
      </c>
      <c r="H110" s="83">
        <f t="shared" si="83"/>
        <v>0</v>
      </c>
    </row>
    <row r="111" spans="1:8">
      <c r="A111" s="75" t="s">
        <v>12</v>
      </c>
      <c r="B111" s="83">
        <f t="shared" si="83"/>
        <v>0</v>
      </c>
      <c r="C111" s="83">
        <f t="shared" si="83"/>
        <v>0</v>
      </c>
      <c r="D111" s="83">
        <f t="shared" si="83"/>
        <v>0</v>
      </c>
      <c r="E111" s="83">
        <f t="shared" si="83"/>
        <v>0</v>
      </c>
      <c r="F111" s="83">
        <f t="shared" si="83"/>
        <v>0</v>
      </c>
      <c r="G111" s="83">
        <f t="shared" si="83"/>
        <v>0</v>
      </c>
      <c r="H111" s="83">
        <f t="shared" si="83"/>
        <v>0</v>
      </c>
    </row>
    <row r="112" spans="1:8">
      <c r="A112" s="75" t="s">
        <v>31</v>
      </c>
      <c r="B112" s="83">
        <f t="shared" si="83"/>
        <v>0</v>
      </c>
      <c r="C112" s="83">
        <f t="shared" si="83"/>
        <v>0</v>
      </c>
      <c r="D112" s="83">
        <f t="shared" si="83"/>
        <v>0</v>
      </c>
      <c r="E112" s="83">
        <f t="shared" si="83"/>
        <v>0</v>
      </c>
      <c r="F112" s="83">
        <f t="shared" si="83"/>
        <v>0</v>
      </c>
      <c r="G112" s="83">
        <f t="shared" si="83"/>
        <v>0</v>
      </c>
      <c r="H112" s="83">
        <f t="shared" si="83"/>
        <v>0</v>
      </c>
    </row>
    <row r="113" spans="1:8">
      <c r="A113" s="75" t="s">
        <v>52</v>
      </c>
      <c r="B113" s="83">
        <f t="shared" si="83"/>
        <v>0</v>
      </c>
      <c r="C113" s="83">
        <f t="shared" si="83"/>
        <v>0</v>
      </c>
      <c r="D113" s="83">
        <f t="shared" si="83"/>
        <v>0</v>
      </c>
      <c r="E113" s="83">
        <f t="shared" si="83"/>
        <v>0</v>
      </c>
      <c r="F113" s="83">
        <f t="shared" si="83"/>
        <v>0</v>
      </c>
      <c r="G113" s="83">
        <f t="shared" si="83"/>
        <v>0</v>
      </c>
      <c r="H113" s="83">
        <f t="shared" si="83"/>
        <v>0</v>
      </c>
    </row>
    <row r="114" spans="1:8">
      <c r="A114" s="75" t="s">
        <v>12</v>
      </c>
      <c r="B114" s="83">
        <f t="shared" si="83"/>
        <v>0</v>
      </c>
      <c r="C114" s="83">
        <f t="shared" si="83"/>
        <v>0</v>
      </c>
      <c r="D114" s="83">
        <f t="shared" si="83"/>
        <v>0</v>
      </c>
      <c r="E114" s="83">
        <f t="shared" si="83"/>
        <v>0</v>
      </c>
      <c r="F114" s="83">
        <f t="shared" si="83"/>
        <v>0</v>
      </c>
      <c r="G114" s="83">
        <f t="shared" si="83"/>
        <v>0</v>
      </c>
      <c r="H114" s="83">
        <f t="shared" si="83"/>
        <v>0</v>
      </c>
    </row>
  </sheetData>
  <mergeCells count="16">
    <mergeCell ref="A19:H19"/>
    <mergeCell ref="J19:Q19"/>
    <mergeCell ref="A4:H4"/>
    <mergeCell ref="A8:H8"/>
    <mergeCell ref="J8:Q8"/>
    <mergeCell ref="A12:H12"/>
    <mergeCell ref="J12:Q12"/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</mergeCells>
  <phoneticPr fontId="17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AQ114"/>
  <sheetViews>
    <sheetView topLeftCell="A4" zoomScale="70" zoomScaleNormal="70" workbookViewId="0">
      <selection activeCell="A9" sqref="A9:AQ40"/>
    </sheetView>
  </sheetViews>
  <sheetFormatPr defaultRowHeight="13.2"/>
  <cols>
    <col min="1" max="1" width="15.33203125" customWidth="1"/>
    <col min="2" max="2" width="7.109375" customWidth="1"/>
    <col min="3" max="3" width="7.88671875" customWidth="1"/>
    <col min="5" max="5" width="6.88671875" customWidth="1"/>
    <col min="6" max="6" width="7.109375" customWidth="1"/>
    <col min="7" max="7" width="8.109375" customWidth="1"/>
    <col min="8" max="8" width="7.33203125" customWidth="1"/>
    <col min="9" max="9" width="5.33203125" customWidth="1"/>
    <col min="10" max="10" width="14.33203125" customWidth="1"/>
    <col min="11" max="11" width="7.109375" customWidth="1"/>
    <col min="12" max="12" width="8.109375" customWidth="1"/>
    <col min="14" max="14" width="6.6640625" customWidth="1"/>
    <col min="15" max="15" width="7.6640625" customWidth="1"/>
    <col min="16" max="16" width="8" customWidth="1"/>
    <col min="17" max="17" width="8.33203125" customWidth="1"/>
    <col min="18" max="18" width="14.33203125" customWidth="1"/>
    <col min="19" max="19" width="7.109375" customWidth="1"/>
    <col min="21" max="21" width="8.5546875" customWidth="1"/>
    <col min="22" max="22" width="7" customWidth="1"/>
    <col min="23" max="23" width="7.6640625" customWidth="1"/>
    <col min="24" max="24" width="7.88671875" customWidth="1"/>
    <col min="25" max="25" width="8.33203125" customWidth="1"/>
    <col min="26" max="26" width="9.33203125" customWidth="1"/>
    <col min="27" max="27" width="7.33203125" customWidth="1"/>
    <col min="28" max="28" width="7.88671875" customWidth="1"/>
    <col min="30" max="30" width="7" customWidth="1"/>
    <col min="31" max="31" width="7.6640625" customWidth="1"/>
    <col min="32" max="32" width="7.88671875" customWidth="1"/>
    <col min="33" max="33" width="7.33203125" customWidth="1"/>
    <col min="35" max="35" width="10.6640625" customWidth="1"/>
  </cols>
  <sheetData>
    <row r="1" spans="1:43">
      <c r="E1" t="s">
        <v>53</v>
      </c>
    </row>
    <row r="2" spans="1:43" ht="15.6">
      <c r="A2" s="37"/>
      <c r="B2" s="37"/>
      <c r="C2" s="37"/>
      <c r="D2" s="37"/>
      <c r="E2" s="37" t="s">
        <v>54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 t="s">
        <v>33</v>
      </c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43" ht="15.6">
      <c r="A3" s="12"/>
      <c r="B3" s="12"/>
      <c r="C3" s="12"/>
      <c r="D3" s="12"/>
      <c r="E3" s="12"/>
      <c r="F3" s="37" t="s">
        <v>97</v>
      </c>
      <c r="G3" s="12"/>
      <c r="H3" s="39"/>
      <c r="I3" s="453"/>
      <c r="J3" s="12" t="s">
        <v>64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2.25" customHeight="1">
      <c r="A4" s="494" t="s">
        <v>98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13" t="s">
        <v>35</v>
      </c>
      <c r="B5" s="1"/>
      <c r="C5" s="1"/>
      <c r="D5" s="1"/>
      <c r="F5" s="10"/>
      <c r="G5" s="533" t="s">
        <v>99</v>
      </c>
      <c r="H5" s="533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59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</row>
    <row r="8" spans="1:43">
      <c r="A8" s="467" t="s">
        <v>17</v>
      </c>
      <c r="B8" s="468"/>
      <c r="C8" s="468"/>
      <c r="D8" s="468"/>
      <c r="E8" s="468"/>
      <c r="F8" s="468"/>
      <c r="G8" s="468"/>
      <c r="H8" s="469"/>
      <c r="I8" s="115"/>
      <c r="J8" s="467" t="s">
        <v>17</v>
      </c>
      <c r="K8" s="468"/>
      <c r="L8" s="468"/>
      <c r="M8" s="468"/>
      <c r="N8" s="468"/>
      <c r="O8" s="468"/>
      <c r="P8" s="468"/>
      <c r="Q8" s="469"/>
      <c r="R8" s="467" t="s">
        <v>17</v>
      </c>
      <c r="S8" s="468"/>
      <c r="T8" s="468"/>
      <c r="U8" s="468"/>
      <c r="V8" s="468"/>
      <c r="W8" s="468"/>
      <c r="X8" s="468"/>
      <c r="Y8" s="469"/>
      <c r="Z8" s="115"/>
      <c r="AA8" s="467" t="s">
        <v>17</v>
      </c>
      <c r="AB8" s="468"/>
      <c r="AC8" s="468"/>
      <c r="AD8" s="468"/>
      <c r="AE8" s="468"/>
      <c r="AF8" s="468"/>
      <c r="AG8" s="468"/>
      <c r="AH8" s="469"/>
      <c r="AI8" s="115"/>
      <c r="AJ8" s="467" t="s">
        <v>17</v>
      </c>
      <c r="AK8" s="468"/>
      <c r="AL8" s="468"/>
      <c r="AM8" s="468"/>
      <c r="AN8" s="468"/>
      <c r="AO8" s="468"/>
      <c r="AP8" s="468"/>
      <c r="AQ8" s="469"/>
    </row>
    <row r="9" spans="1:43">
      <c r="A9" s="33" t="s">
        <v>18</v>
      </c>
      <c r="B9" s="42">
        <f>B13+B20</f>
        <v>910.40000000000009</v>
      </c>
      <c r="C9" s="36">
        <f t="shared" ref="C9:H10" si="0">C13+C20</f>
        <v>36529</v>
      </c>
      <c r="D9" s="36">
        <f t="shared" si="0"/>
        <v>32695</v>
      </c>
      <c r="E9" s="36">
        <f t="shared" si="0"/>
        <v>5974</v>
      </c>
      <c r="F9" s="36">
        <f t="shared" si="0"/>
        <v>9118</v>
      </c>
      <c r="G9" s="36">
        <f t="shared" si="0"/>
        <v>5360</v>
      </c>
      <c r="H9" s="36">
        <f t="shared" si="0"/>
        <v>12243</v>
      </c>
      <c r="I9" s="115"/>
      <c r="J9" s="33" t="s">
        <v>18</v>
      </c>
      <c r="K9" s="42">
        <f>K13+K20</f>
        <v>178.1</v>
      </c>
      <c r="L9" s="36">
        <f t="shared" ref="L9:Q10" si="1">L13+L20</f>
        <v>2861</v>
      </c>
      <c r="M9" s="36">
        <f t="shared" si="1"/>
        <v>2380</v>
      </c>
      <c r="N9" s="36">
        <f t="shared" si="1"/>
        <v>321</v>
      </c>
      <c r="O9" s="36">
        <f t="shared" si="1"/>
        <v>648</v>
      </c>
      <c r="P9" s="36">
        <f t="shared" si="1"/>
        <v>439</v>
      </c>
      <c r="Q9" s="36">
        <f t="shared" si="1"/>
        <v>972</v>
      </c>
      <c r="R9" s="33" t="s">
        <v>18</v>
      </c>
      <c r="S9" s="42">
        <f>S13+S20</f>
        <v>731.4</v>
      </c>
      <c r="T9" s="36">
        <f t="shared" ref="T9:Y10" si="2">T13+T20</f>
        <v>33644</v>
      </c>
      <c r="U9" s="36">
        <f t="shared" si="2"/>
        <v>30294</v>
      </c>
      <c r="V9" s="36">
        <f t="shared" si="2"/>
        <v>5653</v>
      </c>
      <c r="W9" s="36">
        <f t="shared" si="2"/>
        <v>8466</v>
      </c>
      <c r="X9" s="36">
        <f t="shared" si="2"/>
        <v>4915</v>
      </c>
      <c r="Y9" s="36">
        <f t="shared" si="2"/>
        <v>11260</v>
      </c>
      <c r="Z9" s="115"/>
      <c r="AA9" s="33" t="s">
        <v>18</v>
      </c>
      <c r="AB9" s="42">
        <f>AB13+AB20</f>
        <v>294.40000000000003</v>
      </c>
      <c r="AC9" s="36">
        <f t="shared" ref="AC9:AH10" si="3">AC13+AC20</f>
        <v>10627</v>
      </c>
      <c r="AD9" s="36">
        <f t="shared" si="3"/>
        <v>10166</v>
      </c>
      <c r="AE9" s="36">
        <f t="shared" si="3"/>
        <v>4129</v>
      </c>
      <c r="AF9" s="36">
        <f t="shared" si="3"/>
        <v>2386</v>
      </c>
      <c r="AG9" s="36">
        <f t="shared" si="3"/>
        <v>607</v>
      </c>
      <c r="AH9" s="36">
        <f t="shared" si="3"/>
        <v>3044</v>
      </c>
      <c r="AI9" s="115"/>
      <c r="AJ9" s="33" t="s">
        <v>18</v>
      </c>
      <c r="AK9" s="42">
        <f>AK13+AK20</f>
        <v>0.9</v>
      </c>
      <c r="AL9" s="36">
        <f t="shared" ref="AL9:AQ10" si="4">AL13+AL20</f>
        <v>24</v>
      </c>
      <c r="AM9" s="36">
        <f t="shared" si="4"/>
        <v>21</v>
      </c>
      <c r="AN9" s="36">
        <f t="shared" si="4"/>
        <v>0</v>
      </c>
      <c r="AO9" s="36">
        <f t="shared" si="4"/>
        <v>4</v>
      </c>
      <c r="AP9" s="36">
        <f t="shared" si="4"/>
        <v>6</v>
      </c>
      <c r="AQ9" s="36">
        <f t="shared" si="4"/>
        <v>11</v>
      </c>
    </row>
    <row r="10" spans="1:43">
      <c r="A10" s="7" t="s">
        <v>19</v>
      </c>
      <c r="B10" s="42">
        <f>B14+B21</f>
        <v>575.19999999999993</v>
      </c>
      <c r="C10" s="36">
        <f>C14+C21</f>
        <v>36595</v>
      </c>
      <c r="D10" s="36">
        <f t="shared" si="0"/>
        <v>33109</v>
      </c>
      <c r="E10" s="36">
        <f t="shared" si="0"/>
        <v>7343</v>
      </c>
      <c r="F10" s="36">
        <f t="shared" si="0"/>
        <v>2395</v>
      </c>
      <c r="G10" s="36">
        <f t="shared" si="0"/>
        <v>995</v>
      </c>
      <c r="H10" s="36">
        <f t="shared" si="0"/>
        <v>22376</v>
      </c>
      <c r="I10" s="115"/>
      <c r="J10" s="7" t="s">
        <v>19</v>
      </c>
      <c r="K10" s="42">
        <f>K14+K21</f>
        <v>91</v>
      </c>
      <c r="L10" s="36">
        <f t="shared" si="1"/>
        <v>4360</v>
      </c>
      <c r="M10" s="36">
        <f t="shared" si="1"/>
        <v>3943</v>
      </c>
      <c r="N10" s="36">
        <f t="shared" si="1"/>
        <v>795</v>
      </c>
      <c r="O10" s="36">
        <f t="shared" si="1"/>
        <v>338</v>
      </c>
      <c r="P10" s="36">
        <f t="shared" si="1"/>
        <v>49</v>
      </c>
      <c r="Q10" s="36">
        <f t="shared" si="1"/>
        <v>2761</v>
      </c>
      <c r="R10" s="7" t="s">
        <v>19</v>
      </c>
      <c r="S10" s="42">
        <f>S14+S21</f>
        <v>484.2</v>
      </c>
      <c r="T10" s="36">
        <f t="shared" si="2"/>
        <v>32235</v>
      </c>
      <c r="U10" s="36">
        <f t="shared" si="2"/>
        <v>29166</v>
      </c>
      <c r="V10" s="36">
        <f t="shared" si="2"/>
        <v>6548</v>
      </c>
      <c r="W10" s="36">
        <f t="shared" si="2"/>
        <v>2057</v>
      </c>
      <c r="X10" s="36">
        <f t="shared" si="2"/>
        <v>946</v>
      </c>
      <c r="Y10" s="36">
        <f t="shared" si="2"/>
        <v>19615</v>
      </c>
      <c r="Z10" s="115"/>
      <c r="AA10" s="7" t="s">
        <v>19</v>
      </c>
      <c r="AB10" s="42">
        <f>AB14+AB21</f>
        <v>117.5</v>
      </c>
      <c r="AC10" s="36">
        <f t="shared" si="3"/>
        <v>8820</v>
      </c>
      <c r="AD10" s="36">
        <f t="shared" si="3"/>
        <v>7945</v>
      </c>
      <c r="AE10" s="36">
        <f t="shared" si="3"/>
        <v>2336</v>
      </c>
      <c r="AF10" s="36">
        <f t="shared" si="3"/>
        <v>231</v>
      </c>
      <c r="AG10" s="36">
        <f t="shared" si="3"/>
        <v>2</v>
      </c>
      <c r="AH10" s="36">
        <f t="shared" si="3"/>
        <v>5376</v>
      </c>
      <c r="AI10" s="115"/>
      <c r="AJ10" s="7" t="s">
        <v>19</v>
      </c>
      <c r="AK10" s="42">
        <f>AK14+AK21</f>
        <v>0</v>
      </c>
      <c r="AL10" s="36">
        <f t="shared" si="4"/>
        <v>0</v>
      </c>
      <c r="AM10" s="36">
        <f t="shared" si="4"/>
        <v>0</v>
      </c>
      <c r="AN10" s="36">
        <f t="shared" si="4"/>
        <v>0</v>
      </c>
      <c r="AO10" s="36">
        <f t="shared" si="4"/>
        <v>0</v>
      </c>
      <c r="AP10" s="36">
        <f t="shared" si="4"/>
        <v>0</v>
      </c>
      <c r="AQ10" s="36">
        <f t="shared" si="4"/>
        <v>0</v>
      </c>
    </row>
    <row r="11" spans="1:43">
      <c r="A11" s="33" t="s">
        <v>20</v>
      </c>
      <c r="B11" s="26">
        <f>B10/B9*100</f>
        <v>63.181019332161668</v>
      </c>
      <c r="C11" s="26">
        <f t="shared" ref="C11:H11" si="5">C10/C9*100</f>
        <v>100.18067836513455</v>
      </c>
      <c r="D11" s="26">
        <f t="shared" si="5"/>
        <v>101.2662486618749</v>
      </c>
      <c r="E11" s="26">
        <f t="shared" si="5"/>
        <v>122.9159691998661</v>
      </c>
      <c r="F11" s="26">
        <f t="shared" si="5"/>
        <v>26.266725159026098</v>
      </c>
      <c r="G11" s="26">
        <f t="shared" si="5"/>
        <v>18.563432835820894</v>
      </c>
      <c r="H11" s="26">
        <f t="shared" si="5"/>
        <v>182.76566201094505</v>
      </c>
      <c r="I11" s="115"/>
      <c r="J11" s="33" t="s">
        <v>20</v>
      </c>
      <c r="K11" s="26">
        <f>K10/K9*100</f>
        <v>51.094890510948908</v>
      </c>
      <c r="L11" s="26">
        <f t="shared" ref="L11:Q11" si="6">L10/L9*100</f>
        <v>152.39426773855297</v>
      </c>
      <c r="M11" s="26">
        <f t="shared" si="6"/>
        <v>165.67226890756302</v>
      </c>
      <c r="N11" s="26">
        <f t="shared" si="6"/>
        <v>247.66355140186914</v>
      </c>
      <c r="O11" s="26">
        <f t="shared" si="6"/>
        <v>52.160493827160494</v>
      </c>
      <c r="P11" s="26">
        <f t="shared" si="6"/>
        <v>11.161731207289293</v>
      </c>
      <c r="Q11" s="26">
        <f t="shared" si="6"/>
        <v>284.0534979423868</v>
      </c>
      <c r="R11" s="33" t="s">
        <v>20</v>
      </c>
      <c r="S11" s="26">
        <f>S10/S9*100</f>
        <v>66.20180475799836</v>
      </c>
      <c r="T11" s="26">
        <f t="shared" ref="T11:Y11" si="7">T10/T9*100</f>
        <v>95.812031863036495</v>
      </c>
      <c r="U11" s="26">
        <f t="shared" si="7"/>
        <v>96.276490394137454</v>
      </c>
      <c r="V11" s="26">
        <f t="shared" si="7"/>
        <v>115.83230143286751</v>
      </c>
      <c r="W11" s="26">
        <f t="shared" si="7"/>
        <v>24.29718875502008</v>
      </c>
      <c r="X11" s="26">
        <f t="shared" si="7"/>
        <v>19.247202441505596</v>
      </c>
      <c r="Y11" s="26">
        <f t="shared" si="7"/>
        <v>174.2007104795737</v>
      </c>
      <c r="Z11" s="115"/>
      <c r="AA11" s="33" t="s">
        <v>20</v>
      </c>
      <c r="AB11" s="26">
        <f>AB10/AB9*100</f>
        <v>39.911684782608688</v>
      </c>
      <c r="AC11" s="26">
        <f t="shared" ref="AC11:AH11" si="8">AC10/AC9*100</f>
        <v>82.996141902700671</v>
      </c>
      <c r="AD11" s="26">
        <f t="shared" si="8"/>
        <v>78.152665748573682</v>
      </c>
      <c r="AE11" s="26">
        <f t="shared" si="8"/>
        <v>56.575441995640595</v>
      </c>
      <c r="AF11" s="26">
        <f t="shared" si="8"/>
        <v>9.681475272422464</v>
      </c>
      <c r="AG11" s="26">
        <f t="shared" si="8"/>
        <v>0.32948929159802309</v>
      </c>
      <c r="AH11" s="26">
        <f t="shared" si="8"/>
        <v>176.60972404730617</v>
      </c>
      <c r="AI11" s="115"/>
      <c r="AJ11" s="33" t="s">
        <v>20</v>
      </c>
      <c r="AK11" s="26">
        <f>AK10/AK9*100</f>
        <v>0</v>
      </c>
      <c r="AL11" s="26">
        <f t="shared" ref="AL11:AQ11" si="9">AL10/AL9*100</f>
        <v>0</v>
      </c>
      <c r="AM11" s="26">
        <f t="shared" si="9"/>
        <v>0</v>
      </c>
      <c r="AN11" s="26" t="e">
        <f t="shared" si="9"/>
        <v>#DIV/0!</v>
      </c>
      <c r="AO11" s="26">
        <f t="shared" si="9"/>
        <v>0</v>
      </c>
      <c r="AP11" s="26">
        <f t="shared" si="9"/>
        <v>0</v>
      </c>
      <c r="AQ11" s="26">
        <f t="shared" si="9"/>
        <v>0</v>
      </c>
    </row>
    <row r="12" spans="1:43">
      <c r="A12" s="461" t="s">
        <v>11</v>
      </c>
      <c r="B12" s="462"/>
      <c r="C12" s="462"/>
      <c r="D12" s="462"/>
      <c r="E12" s="462"/>
      <c r="F12" s="462"/>
      <c r="G12" s="462"/>
      <c r="H12" s="463"/>
      <c r="I12" s="203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Z12" s="203"/>
      <c r="AA12" s="461" t="s">
        <v>11</v>
      </c>
      <c r="AB12" s="462"/>
      <c r="AC12" s="462"/>
      <c r="AD12" s="462"/>
      <c r="AE12" s="462"/>
      <c r="AF12" s="462"/>
      <c r="AG12" s="462"/>
      <c r="AH12" s="463"/>
      <c r="AI12" s="203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43">
      <c r="A13" s="244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I13" s="203"/>
      <c r="J13" s="244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244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Z13" s="203"/>
      <c r="AA13" s="244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203"/>
      <c r="AJ13" s="244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43">
      <c r="A14" s="18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203"/>
      <c r="J14" s="18" t="s">
        <v>19</v>
      </c>
      <c r="K14" s="6"/>
      <c r="L14" s="6"/>
      <c r="M14" s="6"/>
      <c r="N14" s="6"/>
      <c r="O14" s="6"/>
      <c r="P14" s="6"/>
      <c r="Q14" s="6"/>
      <c r="R14" s="18" t="s">
        <v>19</v>
      </c>
      <c r="S14" s="6"/>
      <c r="T14" s="6"/>
      <c r="U14" s="6"/>
      <c r="V14" s="6"/>
      <c r="W14" s="6"/>
      <c r="X14" s="6"/>
      <c r="Y14" s="6"/>
      <c r="Z14" s="203"/>
      <c r="AA14" s="18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203"/>
      <c r="AJ14" s="18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43">
      <c r="A15" s="244" t="s">
        <v>20</v>
      </c>
      <c r="B15" s="26">
        <f>B14/B13*100</f>
        <v>0</v>
      </c>
      <c r="C15" s="26">
        <f t="shared" ref="C15:H15" si="11">C14/C13*100</f>
        <v>0</v>
      </c>
      <c r="D15" s="26">
        <f t="shared" si="11"/>
        <v>0</v>
      </c>
      <c r="E15" s="26">
        <f t="shared" si="11"/>
        <v>0</v>
      </c>
      <c r="F15" s="26">
        <f t="shared" si="11"/>
        <v>0</v>
      </c>
      <c r="G15" s="26">
        <f t="shared" si="11"/>
        <v>0</v>
      </c>
      <c r="H15" s="26">
        <f t="shared" si="11"/>
        <v>0</v>
      </c>
      <c r="I15" s="203"/>
      <c r="J15" s="244" t="s">
        <v>20</v>
      </c>
      <c r="K15" s="26">
        <f>K14/K13*100</f>
        <v>0</v>
      </c>
      <c r="L15" s="26">
        <f t="shared" ref="L15:Q15" si="12">L14/L13*100</f>
        <v>0</v>
      </c>
      <c r="M15" s="26">
        <f t="shared" si="12"/>
        <v>0</v>
      </c>
      <c r="N15" s="26">
        <f t="shared" si="12"/>
        <v>0</v>
      </c>
      <c r="O15" s="26">
        <f t="shared" si="12"/>
        <v>0</v>
      </c>
      <c r="P15" s="26">
        <f t="shared" si="12"/>
        <v>0</v>
      </c>
      <c r="Q15" s="26">
        <f t="shared" si="12"/>
        <v>0</v>
      </c>
      <c r="R15" s="244" t="s">
        <v>20</v>
      </c>
      <c r="S15" s="26" t="e">
        <f>S14/S13*100</f>
        <v>#DIV/0!</v>
      </c>
      <c r="T15" s="26" t="e">
        <f t="shared" ref="T15:Y15" si="13">T14/T13*100</f>
        <v>#DIV/0!</v>
      </c>
      <c r="U15" s="26" t="e">
        <f t="shared" si="13"/>
        <v>#DIV/0!</v>
      </c>
      <c r="V15" s="26" t="e">
        <f t="shared" si="13"/>
        <v>#DIV/0!</v>
      </c>
      <c r="W15" s="26" t="e">
        <f t="shared" si="13"/>
        <v>#DIV/0!</v>
      </c>
      <c r="X15" s="26" t="e">
        <f t="shared" si="13"/>
        <v>#DIV/0!</v>
      </c>
      <c r="Y15" s="26" t="e">
        <f t="shared" si="13"/>
        <v>#DIV/0!</v>
      </c>
      <c r="Z15" s="203"/>
      <c r="AA15" s="244" t="s">
        <v>20</v>
      </c>
      <c r="AB15" s="26" t="e">
        <f>AB14/AB13*100</f>
        <v>#DIV/0!</v>
      </c>
      <c r="AC15" s="26" t="e">
        <f t="shared" ref="AC15:AH15" si="14">AC14/AC13*100</f>
        <v>#DIV/0!</v>
      </c>
      <c r="AD15" s="26" t="e">
        <f t="shared" si="14"/>
        <v>#DIV/0!</v>
      </c>
      <c r="AE15" s="26" t="e">
        <f t="shared" si="14"/>
        <v>#DIV/0!</v>
      </c>
      <c r="AF15" s="26" t="e">
        <f t="shared" si="14"/>
        <v>#DIV/0!</v>
      </c>
      <c r="AG15" s="26" t="e">
        <f t="shared" si="14"/>
        <v>#DIV/0!</v>
      </c>
      <c r="AH15" s="26" t="e">
        <f t="shared" si="14"/>
        <v>#DIV/0!</v>
      </c>
      <c r="AI15" s="203"/>
      <c r="AJ15" s="244" t="s">
        <v>20</v>
      </c>
      <c r="AK15" s="26" t="e">
        <f>AK14/AK13*100</f>
        <v>#DIV/0!</v>
      </c>
      <c r="AL15" s="26" t="e">
        <f t="shared" ref="AL15:AQ15" si="15">AL14/AL13*100</f>
        <v>#DIV/0!</v>
      </c>
      <c r="AM15" s="26" t="e">
        <f t="shared" si="15"/>
        <v>#DIV/0!</v>
      </c>
      <c r="AN15" s="26" t="e">
        <f t="shared" si="15"/>
        <v>#DIV/0!</v>
      </c>
      <c r="AO15" s="26" t="e">
        <f t="shared" si="15"/>
        <v>#DIV/0!</v>
      </c>
      <c r="AP15" s="26" t="e">
        <f t="shared" si="15"/>
        <v>#DIV/0!</v>
      </c>
      <c r="AQ15" s="26" t="e">
        <f t="shared" si="15"/>
        <v>#DIV/0!</v>
      </c>
    </row>
    <row r="16" spans="1:43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I16" s="203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203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203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I17" s="203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203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203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>
      <c r="A19" s="461" t="s">
        <v>16</v>
      </c>
      <c r="B19" s="462"/>
      <c r="C19" s="462"/>
      <c r="D19" s="462"/>
      <c r="E19" s="462"/>
      <c r="F19" s="462"/>
      <c r="G19" s="462"/>
      <c r="H19" s="463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AA19" s="461" t="s">
        <v>16</v>
      </c>
      <c r="AB19" s="462"/>
      <c r="AC19" s="462"/>
      <c r="AD19" s="462"/>
      <c r="AE19" s="462"/>
      <c r="AF19" s="462"/>
      <c r="AG19" s="462"/>
      <c r="AH19" s="463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4" t="s">
        <v>18</v>
      </c>
      <c r="B20" s="27">
        <f>B23+B26+B29+B32+B35+B38</f>
        <v>903.90000000000009</v>
      </c>
      <c r="C20" s="26">
        <f t="shared" ref="C20:H21" si="16">C23+C26+C29+C32+C35+C38</f>
        <v>36134</v>
      </c>
      <c r="D20" s="26">
        <f t="shared" si="16"/>
        <v>32362</v>
      </c>
      <c r="E20" s="26">
        <f t="shared" si="16"/>
        <v>5884</v>
      </c>
      <c r="F20" s="26">
        <f t="shared" si="16"/>
        <v>8999</v>
      </c>
      <c r="G20" s="26">
        <f t="shared" si="16"/>
        <v>5275</v>
      </c>
      <c r="H20" s="26">
        <f t="shared" si="16"/>
        <v>12204</v>
      </c>
      <c r="J20" s="244" t="s">
        <v>18</v>
      </c>
      <c r="K20" s="27">
        <f>K23+K26+K29+K32+K35+K38</f>
        <v>171.6</v>
      </c>
      <c r="L20" s="26">
        <f t="shared" ref="K20:Q21" si="17">L23+L26+L29+L32+L35+L38</f>
        <v>2466</v>
      </c>
      <c r="M20" s="26">
        <f t="shared" si="17"/>
        <v>2047</v>
      </c>
      <c r="N20" s="26">
        <f t="shared" si="17"/>
        <v>231</v>
      </c>
      <c r="O20" s="26">
        <f t="shared" si="17"/>
        <v>529</v>
      </c>
      <c r="P20" s="26">
        <f t="shared" si="17"/>
        <v>354</v>
      </c>
      <c r="Q20" s="26">
        <f t="shared" si="17"/>
        <v>933</v>
      </c>
      <c r="R20" s="244" t="s">
        <v>18</v>
      </c>
      <c r="S20" s="27">
        <f>S23+S26+S29+S32+S35+S38</f>
        <v>731.4</v>
      </c>
      <c r="T20" s="26">
        <f t="shared" ref="T20:Y21" si="18">T23+T26+T29+T32+T35+T38</f>
        <v>33644</v>
      </c>
      <c r="U20" s="26">
        <f t="shared" si="18"/>
        <v>30294</v>
      </c>
      <c r="V20" s="26">
        <f t="shared" si="18"/>
        <v>5653</v>
      </c>
      <c r="W20" s="26">
        <f t="shared" si="18"/>
        <v>8466</v>
      </c>
      <c r="X20" s="26">
        <f t="shared" si="18"/>
        <v>4915</v>
      </c>
      <c r="Y20" s="26">
        <f t="shared" si="18"/>
        <v>11260</v>
      </c>
      <c r="AA20" s="244" t="s">
        <v>18</v>
      </c>
      <c r="AB20" s="27">
        <f>AB23+AB26+AB29+AB32+AB35+AB38</f>
        <v>294.40000000000003</v>
      </c>
      <c r="AC20" s="26">
        <f t="shared" ref="AC20:AH21" si="19">AC23+AC26+AC29+AC32+AC35+AC38</f>
        <v>10627</v>
      </c>
      <c r="AD20" s="26">
        <f t="shared" si="19"/>
        <v>10166</v>
      </c>
      <c r="AE20" s="26">
        <f t="shared" si="19"/>
        <v>4129</v>
      </c>
      <c r="AF20" s="26">
        <f t="shared" si="19"/>
        <v>2386</v>
      </c>
      <c r="AG20" s="26">
        <f t="shared" si="19"/>
        <v>607</v>
      </c>
      <c r="AH20" s="26">
        <f t="shared" si="19"/>
        <v>3044</v>
      </c>
      <c r="AJ20" s="244" t="s">
        <v>18</v>
      </c>
      <c r="AK20" s="27">
        <f>AK23+AK26+AK29+AK32+AK35+AK38</f>
        <v>0.9</v>
      </c>
      <c r="AL20" s="26">
        <f t="shared" ref="AL20:AQ20" si="20">AL23+AL26+AL29+AL32+AL35+AL38</f>
        <v>24</v>
      </c>
      <c r="AM20" s="26">
        <f t="shared" si="20"/>
        <v>21</v>
      </c>
      <c r="AN20" s="26">
        <f t="shared" si="20"/>
        <v>0</v>
      </c>
      <c r="AO20" s="26">
        <f t="shared" si="20"/>
        <v>4</v>
      </c>
      <c r="AP20" s="26">
        <f t="shared" si="20"/>
        <v>6</v>
      </c>
      <c r="AQ20" s="26">
        <f t="shared" si="20"/>
        <v>11</v>
      </c>
    </row>
    <row r="21" spans="1:43">
      <c r="A21" s="18" t="s">
        <v>19</v>
      </c>
      <c r="B21" s="27">
        <f>B24+B27+B30+B33+B36+B39</f>
        <v>575.19999999999993</v>
      </c>
      <c r="C21" s="26">
        <f>C24+C27+C30+C33+C36+C39</f>
        <v>36595</v>
      </c>
      <c r="D21" s="26">
        <f t="shared" si="16"/>
        <v>33109</v>
      </c>
      <c r="E21" s="26">
        <f t="shared" si="16"/>
        <v>7343</v>
      </c>
      <c r="F21" s="26">
        <f t="shared" si="16"/>
        <v>2395</v>
      </c>
      <c r="G21" s="26">
        <f t="shared" si="16"/>
        <v>995</v>
      </c>
      <c r="H21" s="26">
        <f t="shared" si="16"/>
        <v>22376</v>
      </c>
      <c r="I21" s="203"/>
      <c r="J21" s="18" t="s">
        <v>19</v>
      </c>
      <c r="K21" s="26">
        <f t="shared" si="17"/>
        <v>91</v>
      </c>
      <c r="L21" s="26">
        <f t="shared" si="17"/>
        <v>4360</v>
      </c>
      <c r="M21" s="26">
        <f t="shared" si="17"/>
        <v>3943</v>
      </c>
      <c r="N21" s="26">
        <f t="shared" si="17"/>
        <v>795</v>
      </c>
      <c r="O21" s="26">
        <f t="shared" si="17"/>
        <v>338</v>
      </c>
      <c r="P21" s="26">
        <f t="shared" si="17"/>
        <v>49</v>
      </c>
      <c r="Q21" s="26">
        <f t="shared" si="17"/>
        <v>2761</v>
      </c>
      <c r="R21" s="18" t="s">
        <v>19</v>
      </c>
      <c r="S21" s="27">
        <f>S24+S27+S30+S33+S36+S39</f>
        <v>484.2</v>
      </c>
      <c r="T21" s="26">
        <f t="shared" si="18"/>
        <v>32235</v>
      </c>
      <c r="U21" s="26">
        <f t="shared" si="18"/>
        <v>29166</v>
      </c>
      <c r="V21" s="26">
        <f t="shared" si="18"/>
        <v>6548</v>
      </c>
      <c r="W21" s="26">
        <f t="shared" si="18"/>
        <v>2057</v>
      </c>
      <c r="X21" s="152">
        <f t="shared" si="18"/>
        <v>946</v>
      </c>
      <c r="Y21" s="26">
        <f t="shared" si="18"/>
        <v>19615</v>
      </c>
      <c r="Z21" s="203"/>
      <c r="AA21" s="18" t="s">
        <v>19</v>
      </c>
      <c r="AB21" s="26">
        <f>AB24+AB27+AB30+AB33+AB36+AB39</f>
        <v>117.5</v>
      </c>
      <c r="AC21" s="26">
        <f t="shared" si="19"/>
        <v>8820</v>
      </c>
      <c r="AD21" s="26">
        <f t="shared" si="19"/>
        <v>7945</v>
      </c>
      <c r="AE21" s="26">
        <f t="shared" si="19"/>
        <v>2336</v>
      </c>
      <c r="AF21" s="26">
        <f t="shared" si="19"/>
        <v>231</v>
      </c>
      <c r="AG21" s="26">
        <f t="shared" si="19"/>
        <v>2</v>
      </c>
      <c r="AH21" s="26">
        <f t="shared" si="19"/>
        <v>5376</v>
      </c>
      <c r="AI21" s="203"/>
      <c r="AJ21" s="18" t="s">
        <v>19</v>
      </c>
      <c r="AK21" s="27"/>
      <c r="AL21" s="26"/>
      <c r="AM21" s="26"/>
      <c r="AN21" s="26"/>
      <c r="AO21" s="26"/>
      <c r="AP21" s="26"/>
      <c r="AQ21" s="26"/>
    </row>
    <row r="22" spans="1:43">
      <c r="A22" s="244" t="s">
        <v>20</v>
      </c>
      <c r="B22" s="26">
        <f>B21/B20*100</f>
        <v>63.635357893572284</v>
      </c>
      <c r="C22" s="26">
        <f t="shared" ref="C22:H22" si="21">C21/C20*100</f>
        <v>101.27580671943322</v>
      </c>
      <c r="D22" s="26">
        <f t="shared" si="21"/>
        <v>102.30826277733145</v>
      </c>
      <c r="E22" s="26">
        <f t="shared" si="21"/>
        <v>124.79605710401087</v>
      </c>
      <c r="F22" s="26">
        <f t="shared" si="21"/>
        <v>26.614068229803312</v>
      </c>
      <c r="G22" s="26">
        <f t="shared" si="21"/>
        <v>18.862559241706162</v>
      </c>
      <c r="H22" s="26">
        <f t="shared" si="21"/>
        <v>183.34972140281874</v>
      </c>
      <c r="J22" s="244" t="s">
        <v>20</v>
      </c>
      <c r="K22" s="26">
        <f>K21/K20*100</f>
        <v>53.030303030303031</v>
      </c>
      <c r="L22" s="26">
        <f t="shared" ref="L22:Q22" si="22">L21/L20*100</f>
        <v>176.8045417680454</v>
      </c>
      <c r="M22" s="26">
        <f t="shared" si="22"/>
        <v>192.62335124572544</v>
      </c>
      <c r="N22" s="26">
        <f t="shared" si="22"/>
        <v>344.15584415584414</v>
      </c>
      <c r="O22" s="26">
        <f t="shared" si="22"/>
        <v>63.894139886578451</v>
      </c>
      <c r="P22" s="26">
        <f t="shared" si="22"/>
        <v>13.841807909604519</v>
      </c>
      <c r="Q22" s="26">
        <f t="shared" si="22"/>
        <v>295.92711682743834</v>
      </c>
      <c r="R22" s="244" t="s">
        <v>20</v>
      </c>
      <c r="S22" s="26">
        <f>S21/S20*100</f>
        <v>66.20180475799836</v>
      </c>
      <c r="T22" s="26">
        <f t="shared" ref="T22:Y22" si="23">T21/T20*100</f>
        <v>95.812031863036495</v>
      </c>
      <c r="U22" s="26">
        <f t="shared" si="23"/>
        <v>96.276490394137454</v>
      </c>
      <c r="V22" s="26">
        <f t="shared" si="23"/>
        <v>115.83230143286751</v>
      </c>
      <c r="W22" s="26">
        <f t="shared" si="23"/>
        <v>24.29718875502008</v>
      </c>
      <c r="X22" s="26">
        <f t="shared" si="23"/>
        <v>19.247202441505596</v>
      </c>
      <c r="Y22" s="26">
        <f t="shared" si="23"/>
        <v>174.2007104795737</v>
      </c>
      <c r="AA22" s="244" t="s">
        <v>20</v>
      </c>
      <c r="AB22" s="26">
        <f>AB21/AB20*100</f>
        <v>39.911684782608688</v>
      </c>
      <c r="AC22" s="26">
        <f t="shared" ref="AC22:AH22" si="24">AC21/AC20*100</f>
        <v>82.996141902700671</v>
      </c>
      <c r="AD22" s="26">
        <f t="shared" si="24"/>
        <v>78.152665748573682</v>
      </c>
      <c r="AE22" s="26">
        <f t="shared" si="24"/>
        <v>56.575441995640595</v>
      </c>
      <c r="AF22" s="26">
        <f t="shared" si="24"/>
        <v>9.681475272422464</v>
      </c>
      <c r="AG22" s="26">
        <f t="shared" si="24"/>
        <v>0.32948929159802309</v>
      </c>
      <c r="AH22" s="26">
        <f t="shared" si="24"/>
        <v>176.60972404730617</v>
      </c>
      <c r="AJ22" s="244" t="s">
        <v>20</v>
      </c>
      <c r="AK22" s="26">
        <f>AK21/AK20*100</f>
        <v>0</v>
      </c>
      <c r="AL22" s="26">
        <f t="shared" ref="AL22:AQ22" si="25">AL21/AL20*100</f>
        <v>0</v>
      </c>
      <c r="AM22" s="26">
        <f t="shared" si="25"/>
        <v>0</v>
      </c>
      <c r="AN22" s="26" t="e">
        <f t="shared" si="25"/>
        <v>#DIV/0!</v>
      </c>
      <c r="AO22" s="26">
        <f t="shared" si="25"/>
        <v>0</v>
      </c>
      <c r="AP22" s="26">
        <f t="shared" si="25"/>
        <v>0</v>
      </c>
      <c r="AQ22" s="26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6" t="e">
        <f>B24/B23*100</f>
        <v>#DIV/0!</v>
      </c>
      <c r="C25" s="26" t="e">
        <f t="shared" ref="C25:H25" si="27">C24/C23*100</f>
        <v>#DIV/0!</v>
      </c>
      <c r="D25" s="26" t="e">
        <f t="shared" si="27"/>
        <v>#DIV/0!</v>
      </c>
      <c r="E25" s="26" t="e">
        <f t="shared" si="27"/>
        <v>#DIV/0!</v>
      </c>
      <c r="F25" s="26" t="e">
        <f t="shared" si="27"/>
        <v>#DIV/0!</v>
      </c>
      <c r="G25" s="26" t="e">
        <f t="shared" si="27"/>
        <v>#DIV/0!</v>
      </c>
      <c r="H25" s="26" t="e">
        <f t="shared" si="27"/>
        <v>#DIV/0!</v>
      </c>
      <c r="J25" s="6" t="s">
        <v>12</v>
      </c>
      <c r="K25" s="26" t="e">
        <f>K24/K23*100</f>
        <v>#DIV/0!</v>
      </c>
      <c r="L25" s="26" t="e">
        <f t="shared" ref="L25:Q25" si="28">L24/L23*100</f>
        <v>#DIV/0!</v>
      </c>
      <c r="M25" s="26" t="e">
        <f t="shared" si="28"/>
        <v>#DIV/0!</v>
      </c>
      <c r="N25" s="26" t="e">
        <f t="shared" si="28"/>
        <v>#DIV/0!</v>
      </c>
      <c r="O25" s="26" t="e">
        <f t="shared" si="28"/>
        <v>#DIV/0!</v>
      </c>
      <c r="P25" s="26" t="e">
        <f t="shared" si="28"/>
        <v>#DIV/0!</v>
      </c>
      <c r="Q25" s="26" t="e">
        <f t="shared" si="28"/>
        <v>#DIV/0!</v>
      </c>
      <c r="R25" s="6" t="s">
        <v>12</v>
      </c>
      <c r="S25" s="26" t="e">
        <f>S24/S23*100</f>
        <v>#DIV/0!</v>
      </c>
      <c r="T25" s="26" t="e">
        <f t="shared" ref="T25:Y25" si="29">T24/T23*100</f>
        <v>#DIV/0!</v>
      </c>
      <c r="U25" s="26" t="e">
        <f t="shared" si="29"/>
        <v>#DIV/0!</v>
      </c>
      <c r="V25" s="26" t="e">
        <f t="shared" si="29"/>
        <v>#DIV/0!</v>
      </c>
      <c r="W25" s="26" t="e">
        <f t="shared" si="29"/>
        <v>#DIV/0!</v>
      </c>
      <c r="X25" s="26" t="e">
        <f t="shared" si="29"/>
        <v>#DIV/0!</v>
      </c>
      <c r="Y25" s="26" t="e">
        <f t="shared" si="29"/>
        <v>#DIV/0!</v>
      </c>
      <c r="AA25" s="6" t="s">
        <v>12</v>
      </c>
      <c r="AB25" s="26" t="e">
        <f>AB24/AB23*100</f>
        <v>#DIV/0!</v>
      </c>
      <c r="AC25" s="26" t="e">
        <f t="shared" ref="AC25:AH25" si="30">AC24/AC23*100</f>
        <v>#DIV/0!</v>
      </c>
      <c r="AD25" s="26" t="e">
        <f t="shared" si="30"/>
        <v>#DIV/0!</v>
      </c>
      <c r="AE25" s="26" t="e">
        <f t="shared" si="30"/>
        <v>#DIV/0!</v>
      </c>
      <c r="AF25" s="26" t="e">
        <f t="shared" si="30"/>
        <v>#DIV/0!</v>
      </c>
      <c r="AG25" s="26" t="e">
        <f t="shared" si="30"/>
        <v>#DIV/0!</v>
      </c>
      <c r="AH25" s="26" t="e">
        <f t="shared" si="30"/>
        <v>#DIV/0!</v>
      </c>
      <c r="AJ25" s="6" t="s">
        <v>12</v>
      </c>
      <c r="AK25" s="26" t="e">
        <f>AK24/AK23*100</f>
        <v>#DIV/0!</v>
      </c>
      <c r="AL25" s="26" t="e">
        <f t="shared" ref="AL25:AQ25" si="31">AL24/AL23*100</f>
        <v>#DIV/0!</v>
      </c>
      <c r="AM25" s="26" t="e">
        <f t="shared" si="31"/>
        <v>#DIV/0!</v>
      </c>
      <c r="AN25" s="26" t="e">
        <f t="shared" si="31"/>
        <v>#DIV/0!</v>
      </c>
      <c r="AO25" s="26" t="e">
        <f t="shared" si="31"/>
        <v>#DIV/0!</v>
      </c>
      <c r="AP25" s="26" t="e">
        <f t="shared" si="31"/>
        <v>#DIV/0!</v>
      </c>
      <c r="AQ25" s="26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66.3</v>
      </c>
      <c r="C27" s="6">
        <f>L27+T27+AL27</f>
        <v>1973</v>
      </c>
      <c r="D27" s="6">
        <f>E27+F27+G27+H27</f>
        <v>1662</v>
      </c>
      <c r="E27" s="6">
        <f t="shared" si="32"/>
        <v>327</v>
      </c>
      <c r="F27" s="6">
        <f t="shared" si="32"/>
        <v>75</v>
      </c>
      <c r="G27" s="6">
        <f t="shared" si="32"/>
        <v>3</v>
      </c>
      <c r="H27" s="6">
        <f t="shared" si="32"/>
        <v>1257</v>
      </c>
      <c r="J27" s="6" t="s">
        <v>24</v>
      </c>
      <c r="K27" s="6">
        <v>2.2999999999999998</v>
      </c>
      <c r="L27" s="6">
        <v>63</v>
      </c>
      <c r="M27" s="6">
        <f>N27+O27+P27+Q27</f>
        <v>50</v>
      </c>
      <c r="N27" s="6">
        <v>2</v>
      </c>
      <c r="O27" s="6">
        <v>4</v>
      </c>
      <c r="P27" s="6">
        <v>3</v>
      </c>
      <c r="Q27" s="6">
        <v>41</v>
      </c>
      <c r="R27" s="6" t="s">
        <v>24</v>
      </c>
      <c r="S27" s="399">
        <v>64</v>
      </c>
      <c r="T27" s="6">
        <v>1910</v>
      </c>
      <c r="U27" s="6">
        <f>V27+W27+X27+Y27</f>
        <v>1612</v>
      </c>
      <c r="V27" s="6">
        <v>325</v>
      </c>
      <c r="W27" s="6">
        <v>71</v>
      </c>
      <c r="X27" s="6"/>
      <c r="Y27" s="6">
        <v>1216</v>
      </c>
      <c r="AA27" s="6" t="s">
        <v>24</v>
      </c>
      <c r="AB27" s="399">
        <v>19.5</v>
      </c>
      <c r="AC27" s="6">
        <v>700</v>
      </c>
      <c r="AD27" s="6">
        <f>AE27+AF27+AG27+AH27</f>
        <v>595</v>
      </c>
      <c r="AE27" s="6">
        <v>147</v>
      </c>
      <c r="AF27" s="6">
        <v>12</v>
      </c>
      <c r="AG27" s="6"/>
      <c r="AH27" s="6">
        <v>436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6">
        <f>B27/B26*100</f>
        <v>48.043478260869563</v>
      </c>
      <c r="C28" s="26">
        <f t="shared" ref="C28:H28" si="33">C27/C26*100</f>
        <v>35.820624546114743</v>
      </c>
      <c r="D28" s="26">
        <f t="shared" si="33"/>
        <v>32.416617905207723</v>
      </c>
      <c r="E28" s="26">
        <f t="shared" si="33"/>
        <v>24.312267657992564</v>
      </c>
      <c r="F28" s="26">
        <f t="shared" si="33"/>
        <v>5.4864667154352595</v>
      </c>
      <c r="G28" s="26">
        <f t="shared" si="33"/>
        <v>0.50847457627118642</v>
      </c>
      <c r="H28" s="26">
        <f t="shared" si="33"/>
        <v>68.876712328767127</v>
      </c>
      <c r="J28" s="6" t="s">
        <v>12</v>
      </c>
      <c r="K28" s="26">
        <f>K27/K26*100</f>
        <v>16.788321167883211</v>
      </c>
      <c r="L28" s="26">
        <f>L27/L26*100</f>
        <v>35.795454545454547</v>
      </c>
      <c r="M28" s="26">
        <f t="shared" ref="M28:P28" si="34">M27/M26*100</f>
        <v>30.120481927710845</v>
      </c>
      <c r="N28" s="26">
        <f t="shared" si="34"/>
        <v>20</v>
      </c>
      <c r="O28" s="26">
        <f t="shared" si="34"/>
        <v>9.0909090909090917</v>
      </c>
      <c r="P28" s="26">
        <f t="shared" si="34"/>
        <v>7.8947368421052628</v>
      </c>
      <c r="Q28" s="26"/>
      <c r="R28" s="6" t="s">
        <v>12</v>
      </c>
      <c r="S28" s="26">
        <f>S27/S26*100</f>
        <v>51.488334674175384</v>
      </c>
      <c r="T28" s="26">
        <f t="shared" ref="T28:Y28" si="35">T27/T26*100</f>
        <v>35.821455363840961</v>
      </c>
      <c r="U28" s="26">
        <f t="shared" si="35"/>
        <v>32.493448901431165</v>
      </c>
      <c r="V28" s="26">
        <f t="shared" si="35"/>
        <v>24.344569288389515</v>
      </c>
      <c r="W28" s="26">
        <f t="shared" si="35"/>
        <v>5.3665910808767956</v>
      </c>
      <c r="X28" s="26">
        <f t="shared" si="35"/>
        <v>0</v>
      </c>
      <c r="Y28" s="26">
        <f t="shared" si="35"/>
        <v>69.446030839520276</v>
      </c>
      <c r="AA28" s="6" t="s">
        <v>12</v>
      </c>
      <c r="AB28" s="26">
        <f>AB27/AB26*100</f>
        <v>23.022432113341203</v>
      </c>
      <c r="AC28" s="26">
        <f t="shared" ref="AC28:AH28" si="36">AC27/AC26*100</f>
        <v>23.140495867768596</v>
      </c>
      <c r="AD28" s="26">
        <f t="shared" si="36"/>
        <v>20.293315143246932</v>
      </c>
      <c r="AE28" s="26">
        <f t="shared" si="36"/>
        <v>12.178956089478046</v>
      </c>
      <c r="AF28" s="26">
        <f t="shared" si="36"/>
        <v>1.7391304347826086</v>
      </c>
      <c r="AG28" s="26">
        <f t="shared" si="36"/>
        <v>0</v>
      </c>
      <c r="AH28" s="26">
        <f t="shared" si="36"/>
        <v>50.52143684820394</v>
      </c>
      <c r="AJ28" s="6" t="s">
        <v>12</v>
      </c>
      <c r="AK28" s="26" t="e">
        <f>AK27/AK26*100</f>
        <v>#DIV/0!</v>
      </c>
      <c r="AL28" s="26" t="e">
        <f t="shared" ref="AL28:AQ28" si="37">AL27/AL26*100</f>
        <v>#DIV/0!</v>
      </c>
      <c r="AM28" s="26" t="e">
        <f t="shared" si="37"/>
        <v>#DIV/0!</v>
      </c>
      <c r="AN28" s="26" t="e">
        <f t="shared" si="37"/>
        <v>#DIV/0!</v>
      </c>
      <c r="AO28" s="26" t="e">
        <f t="shared" si="37"/>
        <v>#DIV/0!</v>
      </c>
      <c r="AP28" s="26" t="e">
        <f t="shared" si="37"/>
        <v>#DIV/0!</v>
      </c>
      <c r="AQ28" s="26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27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379.79999999999995</v>
      </c>
      <c r="C30" s="6">
        <f>L30+T30+AL30</f>
        <v>22107</v>
      </c>
      <c r="D30" s="6">
        <f>E30+F30+G30+H30</f>
        <v>20606</v>
      </c>
      <c r="E30" s="6">
        <f t="shared" si="38"/>
        <v>6214</v>
      </c>
      <c r="F30" s="6">
        <f t="shared" si="38"/>
        <v>1174</v>
      </c>
      <c r="G30" s="6">
        <f t="shared" si="38"/>
        <v>27</v>
      </c>
      <c r="H30" s="6">
        <f t="shared" si="38"/>
        <v>13191</v>
      </c>
      <c r="J30" s="6" t="s">
        <v>26</v>
      </c>
      <c r="K30" s="27">
        <v>35.4</v>
      </c>
      <c r="L30" s="6">
        <v>1907</v>
      </c>
      <c r="M30" s="6">
        <f>N30+O30+P30+Q30</f>
        <v>1734</v>
      </c>
      <c r="N30" s="6">
        <v>361</v>
      </c>
      <c r="O30" s="6">
        <v>186</v>
      </c>
      <c r="P30" s="6">
        <v>24</v>
      </c>
      <c r="Q30" s="6">
        <v>1163</v>
      </c>
      <c r="R30" s="6" t="s">
        <v>26</v>
      </c>
      <c r="S30" s="6">
        <v>344.4</v>
      </c>
      <c r="T30" s="6">
        <v>20200</v>
      </c>
      <c r="U30" s="6">
        <f>V30+W30+X30+Y30</f>
        <v>18872</v>
      </c>
      <c r="V30" s="6">
        <v>5853</v>
      </c>
      <c r="W30" s="6">
        <v>988</v>
      </c>
      <c r="X30" s="6">
        <v>3</v>
      </c>
      <c r="Y30" s="6">
        <v>12028</v>
      </c>
      <c r="AA30" s="6" t="s">
        <v>26</v>
      </c>
      <c r="AB30" s="6">
        <v>98</v>
      </c>
      <c r="AC30" s="6">
        <v>6760</v>
      </c>
      <c r="AD30" s="6">
        <f>AE30+AF30+AG30+AH30</f>
        <v>6259</v>
      </c>
      <c r="AE30" s="6">
        <v>2182</v>
      </c>
      <c r="AF30" s="6">
        <v>210</v>
      </c>
      <c r="AG30" s="6">
        <v>2</v>
      </c>
      <c r="AH30" s="6">
        <v>3865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6">
        <f>B30/B29*100</f>
        <v>75.282457879088199</v>
      </c>
      <c r="C31" s="26">
        <f t="shared" ref="C31:H31" si="39">C30/C29*100</f>
        <v>106.47818129274636</v>
      </c>
      <c r="D31" s="26">
        <f t="shared" si="39"/>
        <v>109.75233022636483</v>
      </c>
      <c r="E31" s="26">
        <f t="shared" si="39"/>
        <v>206.37661906343411</v>
      </c>
      <c r="F31" s="26">
        <f t="shared" si="39"/>
        <v>21.890732798806638</v>
      </c>
      <c r="G31" s="26">
        <f t="shared" si="39"/>
        <v>0.9410944579993028</v>
      </c>
      <c r="H31" s="26">
        <f t="shared" si="39"/>
        <v>175.13276686139139</v>
      </c>
      <c r="J31" s="6" t="s">
        <v>12</v>
      </c>
      <c r="K31" s="26">
        <f>K30/K29*100</f>
        <v>73.75</v>
      </c>
      <c r="L31" s="26">
        <f t="shared" ref="L31:P31" si="40">L30/L29*100</f>
        <v>308.07754442649434</v>
      </c>
      <c r="M31" s="26">
        <f t="shared" si="40"/>
        <v>297.93814432989689</v>
      </c>
      <c r="N31" s="26">
        <f t="shared" si="40"/>
        <v>656.36363636363637</v>
      </c>
      <c r="O31" s="26">
        <f t="shared" si="40"/>
        <v>163.15789473684211</v>
      </c>
      <c r="P31" s="26">
        <f t="shared" si="40"/>
        <v>21.428571428571427</v>
      </c>
      <c r="Q31" s="26">
        <f>Q30/Q29*100</f>
        <v>386.37873754152821</v>
      </c>
      <c r="R31" s="6" t="s">
        <v>12</v>
      </c>
      <c r="S31" s="26">
        <f>S30/S29*100</f>
        <v>75.493204734765456</v>
      </c>
      <c r="T31" s="26">
        <f t="shared" ref="T31:Y31" si="41">T30/T29*100</f>
        <v>100.30787565796007</v>
      </c>
      <c r="U31" s="26">
        <f t="shared" si="41"/>
        <v>103.76072135473939</v>
      </c>
      <c r="V31" s="26">
        <f t="shared" si="41"/>
        <v>198.00405953991881</v>
      </c>
      <c r="W31" s="26">
        <f t="shared" si="41"/>
        <v>18.826219512195124</v>
      </c>
      <c r="X31" s="26">
        <f t="shared" si="41"/>
        <v>0.10885341074020319</v>
      </c>
      <c r="Y31" s="26">
        <f t="shared" si="41"/>
        <v>166.40841173215276</v>
      </c>
      <c r="AA31" s="6" t="s">
        <v>12</v>
      </c>
      <c r="AB31" s="26">
        <f>AB30/AB29*100</f>
        <v>64.943671305500331</v>
      </c>
      <c r="AC31" s="26">
        <f t="shared" ref="AC31:AH31" si="42">AC30/AC29*100</f>
        <v>125.37091988130564</v>
      </c>
      <c r="AD31" s="26">
        <f t="shared" si="42"/>
        <v>119.78947368421053</v>
      </c>
      <c r="AE31" s="26">
        <f t="shared" si="42"/>
        <v>101.39405204460968</v>
      </c>
      <c r="AF31" s="26">
        <f t="shared" si="42"/>
        <v>17.087062652563059</v>
      </c>
      <c r="AG31" s="26">
        <f t="shared" si="42"/>
        <v>0.65146579804560267</v>
      </c>
      <c r="AH31" s="26">
        <f t="shared" si="42"/>
        <v>251.46389069616134</v>
      </c>
      <c r="AJ31" s="6" t="s">
        <v>12</v>
      </c>
      <c r="AK31" s="26">
        <f>AK30/AK29*100</f>
        <v>0</v>
      </c>
      <c r="AL31" s="26">
        <f t="shared" ref="AL31:AQ31" si="43">AL30/AL29*100</f>
        <v>0</v>
      </c>
      <c r="AM31" s="26">
        <f t="shared" si="43"/>
        <v>0</v>
      </c>
      <c r="AN31" s="26" t="e">
        <f t="shared" si="43"/>
        <v>#DIV/0!</v>
      </c>
      <c r="AO31" s="26">
        <f t="shared" si="43"/>
        <v>0</v>
      </c>
      <c r="AP31" s="26">
        <f t="shared" si="43"/>
        <v>0</v>
      </c>
      <c r="AQ31" s="26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6">
        <f>B33/B32*100</f>
        <v>0</v>
      </c>
      <c r="C34" s="26">
        <f t="shared" ref="C34:H34" si="45">C33/C32*100</f>
        <v>0</v>
      </c>
      <c r="D34" s="26">
        <f t="shared" si="45"/>
        <v>0</v>
      </c>
      <c r="E34" s="26">
        <f t="shared" si="45"/>
        <v>0</v>
      </c>
      <c r="F34" s="26">
        <f t="shared" si="45"/>
        <v>0</v>
      </c>
      <c r="G34" s="26" t="e">
        <f t="shared" si="45"/>
        <v>#DIV/0!</v>
      </c>
      <c r="H34" s="26">
        <f t="shared" si="45"/>
        <v>0</v>
      </c>
      <c r="J34" s="6" t="s">
        <v>12</v>
      </c>
      <c r="K34" s="26" t="e">
        <f>K33/K32*100</f>
        <v>#DIV/0!</v>
      </c>
      <c r="L34" s="26" t="e">
        <f t="shared" ref="L34:Q34" si="46">L33/L32*100</f>
        <v>#DIV/0!</v>
      </c>
      <c r="M34" s="26" t="e">
        <f t="shared" si="46"/>
        <v>#DIV/0!</v>
      </c>
      <c r="N34" s="26" t="e">
        <f t="shared" si="46"/>
        <v>#DIV/0!</v>
      </c>
      <c r="O34" s="26" t="e">
        <f t="shared" si="46"/>
        <v>#DIV/0!</v>
      </c>
      <c r="P34" s="26" t="e">
        <f t="shared" si="46"/>
        <v>#DIV/0!</v>
      </c>
      <c r="Q34" s="26" t="e">
        <f t="shared" si="46"/>
        <v>#DIV/0!</v>
      </c>
      <c r="R34" s="6" t="s">
        <v>12</v>
      </c>
      <c r="S34" s="26">
        <f>S33/S32*100</f>
        <v>0</v>
      </c>
      <c r="T34" s="26">
        <f t="shared" ref="T34:Y34" si="47">T33/T32*100</f>
        <v>0</v>
      </c>
      <c r="U34" s="26">
        <f t="shared" si="47"/>
        <v>0</v>
      </c>
      <c r="V34" s="26">
        <f t="shared" si="47"/>
        <v>0</v>
      </c>
      <c r="W34" s="26">
        <f t="shared" si="47"/>
        <v>0</v>
      </c>
      <c r="X34" s="26" t="e">
        <f t="shared" si="47"/>
        <v>#DIV/0!</v>
      </c>
      <c r="Y34" s="26">
        <f t="shared" si="47"/>
        <v>0</v>
      </c>
      <c r="AA34" s="6" t="s">
        <v>12</v>
      </c>
      <c r="AB34" s="26">
        <f>AB33/AB32*100</f>
        <v>0</v>
      </c>
      <c r="AC34" s="26">
        <f t="shared" ref="AC34:AH34" si="48">AC33/AC32*100</f>
        <v>0</v>
      </c>
      <c r="AD34" s="26">
        <f t="shared" si="48"/>
        <v>0</v>
      </c>
      <c r="AE34" s="26">
        <f t="shared" si="48"/>
        <v>0</v>
      </c>
      <c r="AF34" s="26">
        <f t="shared" si="48"/>
        <v>0</v>
      </c>
      <c r="AG34" s="26" t="e">
        <f t="shared" si="48"/>
        <v>#DIV/0!</v>
      </c>
      <c r="AH34" s="26">
        <f t="shared" si="48"/>
        <v>0</v>
      </c>
      <c r="AJ34" s="6" t="s">
        <v>12</v>
      </c>
      <c r="AK34" s="26" t="e">
        <f>AK33/AK32*100</f>
        <v>#DIV/0!</v>
      </c>
      <c r="AL34" s="26" t="e">
        <f t="shared" ref="AL34:AQ34" si="49">AL33/AL32*100</f>
        <v>#DIV/0!</v>
      </c>
      <c r="AM34" s="26" t="e">
        <f t="shared" si="49"/>
        <v>#DIV/0!</v>
      </c>
      <c r="AN34" s="26" t="e">
        <f t="shared" si="49"/>
        <v>#DIV/0!</v>
      </c>
      <c r="AO34" s="26" t="e">
        <f t="shared" si="49"/>
        <v>#DIV/0!</v>
      </c>
      <c r="AP34" s="26" t="e">
        <f t="shared" si="49"/>
        <v>#DIV/0!</v>
      </c>
      <c r="AQ34" s="26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27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51.599999999999994</v>
      </c>
      <c r="C36" s="6">
        <f>L36+T36+AL36</f>
        <v>4760</v>
      </c>
      <c r="D36" s="6">
        <f>E36+F36+G36+H36</f>
        <v>4099</v>
      </c>
      <c r="E36" s="6">
        <f t="shared" si="50"/>
        <v>229</v>
      </c>
      <c r="F36" s="6">
        <f t="shared" si="50"/>
        <v>944</v>
      </c>
      <c r="G36" s="6">
        <f t="shared" si="50"/>
        <v>947</v>
      </c>
      <c r="H36" s="6">
        <f t="shared" si="50"/>
        <v>1979</v>
      </c>
      <c r="J36" s="6" t="s">
        <v>30</v>
      </c>
      <c r="K36" s="27">
        <v>2.2999999999999998</v>
      </c>
      <c r="L36" s="6">
        <v>55</v>
      </c>
      <c r="M36" s="6">
        <f>N36+O36+P36+Q36</f>
        <v>50</v>
      </c>
      <c r="N36" s="6"/>
      <c r="O36" s="6">
        <v>2</v>
      </c>
      <c r="P36" s="6">
        <v>5</v>
      </c>
      <c r="Q36" s="6">
        <v>43</v>
      </c>
      <c r="R36" s="6" t="s">
        <v>30</v>
      </c>
      <c r="S36" s="27">
        <v>49.3</v>
      </c>
      <c r="T36" s="6">
        <v>4705</v>
      </c>
      <c r="U36" s="6">
        <f>V36+W36+X36+Y36</f>
        <v>4049</v>
      </c>
      <c r="V36" s="6">
        <v>229</v>
      </c>
      <c r="W36" s="6">
        <v>942</v>
      </c>
      <c r="X36" s="6">
        <v>942</v>
      </c>
      <c r="Y36" s="6">
        <v>1936</v>
      </c>
      <c r="AA36" s="6" t="s">
        <v>30</v>
      </c>
      <c r="AB36" s="6"/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6">
        <f>B36/B35*100</f>
        <v>123.74100719424459</v>
      </c>
      <c r="C37" s="26">
        <f t="shared" ref="C37:H37" si="51">C36/C35*100</f>
        <v>145.34351145038167</v>
      </c>
      <c r="D37" s="26">
        <f t="shared" si="51"/>
        <v>140.71404050806728</v>
      </c>
      <c r="E37" s="26">
        <f t="shared" si="51"/>
        <v>715.625</v>
      </c>
      <c r="F37" s="26">
        <f t="shared" si="51"/>
        <v>113.05389221556885</v>
      </c>
      <c r="G37" s="26">
        <f t="shared" si="51"/>
        <v>80.940170940170944</v>
      </c>
      <c r="H37" s="26">
        <f t="shared" si="51"/>
        <v>225.9132420091324</v>
      </c>
      <c r="J37" s="6" t="s">
        <v>12</v>
      </c>
      <c r="K37" s="26">
        <f>K36/K35*100</f>
        <v>383.33333333333331</v>
      </c>
      <c r="L37" s="26">
        <f t="shared" ref="L37:Q37" si="52">L36/L35*100</f>
        <v>550</v>
      </c>
      <c r="M37" s="26">
        <f t="shared" si="52"/>
        <v>625</v>
      </c>
      <c r="N37" s="26" t="e">
        <f t="shared" si="52"/>
        <v>#DIV/0!</v>
      </c>
      <c r="O37" s="26">
        <f t="shared" si="52"/>
        <v>100</v>
      </c>
      <c r="P37" s="26">
        <f t="shared" si="52"/>
        <v>125</v>
      </c>
      <c r="Q37" s="26">
        <f t="shared" si="52"/>
        <v>2150</v>
      </c>
      <c r="R37" s="6" t="s">
        <v>12</v>
      </c>
      <c r="S37" s="26">
        <f>S36/S35*100</f>
        <v>120.24390243902438</v>
      </c>
      <c r="T37" s="26">
        <f t="shared" ref="T37:Y37" si="53">T36/T35*100</f>
        <v>144.41375076734192</v>
      </c>
      <c r="U37" s="26">
        <f t="shared" si="53"/>
        <v>139.66885132804416</v>
      </c>
      <c r="V37" s="26">
        <f t="shared" si="53"/>
        <v>715.625</v>
      </c>
      <c r="W37" s="26">
        <f t="shared" si="53"/>
        <v>113.35740072202165</v>
      </c>
      <c r="X37" s="26">
        <f t="shared" si="53"/>
        <v>80.927835051546396</v>
      </c>
      <c r="Y37" s="26">
        <f t="shared" si="53"/>
        <v>222.0183486238532</v>
      </c>
      <c r="AA37" s="6" t="s">
        <v>12</v>
      </c>
      <c r="AB37" s="26" t="e">
        <f>AB36/AB35*100</f>
        <v>#DIV/0!</v>
      </c>
      <c r="AC37" s="26" t="e">
        <f t="shared" ref="AC37:AH37" si="54">AC36/AC35*100</f>
        <v>#DIV/0!</v>
      </c>
      <c r="AD37" s="26" t="e">
        <f t="shared" si="54"/>
        <v>#DIV/0!</v>
      </c>
      <c r="AE37" s="26" t="e">
        <f t="shared" si="54"/>
        <v>#DIV/0!</v>
      </c>
      <c r="AF37" s="26" t="e">
        <f t="shared" si="54"/>
        <v>#DIV/0!</v>
      </c>
      <c r="AG37" s="26" t="e">
        <f t="shared" si="54"/>
        <v>#DIV/0!</v>
      </c>
      <c r="AH37" s="26" t="e">
        <f t="shared" si="54"/>
        <v>#DIV/0!</v>
      </c>
      <c r="AJ37" s="6" t="s">
        <v>12</v>
      </c>
      <c r="AK37" s="26">
        <f>AK36/AK35*100</f>
        <v>0</v>
      </c>
      <c r="AL37" s="26">
        <f t="shared" ref="AL37:AQ37" si="55">AL36/AL35*100</f>
        <v>0</v>
      </c>
      <c r="AM37" s="26">
        <f t="shared" si="55"/>
        <v>0</v>
      </c>
      <c r="AN37" s="26" t="e">
        <f t="shared" si="55"/>
        <v>#DIV/0!</v>
      </c>
      <c r="AO37" s="26">
        <f t="shared" si="55"/>
        <v>0</v>
      </c>
      <c r="AP37" s="26">
        <f t="shared" si="55"/>
        <v>0</v>
      </c>
      <c r="AQ37" s="26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77.5</v>
      </c>
      <c r="C39" s="6">
        <f>L39+T39+AL39</f>
        <v>7755</v>
      </c>
      <c r="D39" s="6">
        <f>E39+F39+G39+H39</f>
        <v>6742</v>
      </c>
      <c r="E39" s="6">
        <f t="shared" si="56"/>
        <v>573</v>
      </c>
      <c r="F39" s="6">
        <f t="shared" si="56"/>
        <v>202</v>
      </c>
      <c r="G39" s="6">
        <f t="shared" si="56"/>
        <v>18</v>
      </c>
      <c r="H39" s="6">
        <f t="shared" si="56"/>
        <v>5949</v>
      </c>
      <c r="J39" s="6" t="s">
        <v>32</v>
      </c>
      <c r="K39" s="6">
        <v>51</v>
      </c>
      <c r="L39" s="6">
        <v>2335</v>
      </c>
      <c r="M39" s="6">
        <f>N39+O39+P39+Q39</f>
        <v>2109</v>
      </c>
      <c r="N39" s="6">
        <v>432</v>
      </c>
      <c r="O39" s="6">
        <v>146</v>
      </c>
      <c r="P39" s="6">
        <v>17</v>
      </c>
      <c r="Q39" s="6">
        <v>1514</v>
      </c>
      <c r="R39" s="6" t="s">
        <v>32</v>
      </c>
      <c r="S39" s="27">
        <v>26.5</v>
      </c>
      <c r="T39" s="6">
        <v>5420</v>
      </c>
      <c r="U39" s="6">
        <f>V39+W39+X39+Y39</f>
        <v>4633</v>
      </c>
      <c r="V39" s="6">
        <v>141</v>
      </c>
      <c r="W39" s="6">
        <v>56</v>
      </c>
      <c r="X39" s="6">
        <v>1</v>
      </c>
      <c r="Y39" s="6">
        <v>4435</v>
      </c>
      <c r="AA39" s="6" t="s">
        <v>32</v>
      </c>
      <c r="AB39" s="6"/>
      <c r="AC39" s="6">
        <v>1360</v>
      </c>
      <c r="AD39" s="6">
        <f>AE39+AF39+AG39+AH39</f>
        <v>1091</v>
      </c>
      <c r="AE39" s="6">
        <v>7</v>
      </c>
      <c r="AF39" s="6">
        <v>9</v>
      </c>
      <c r="AG39" s="6"/>
      <c r="AH39" s="6">
        <v>1075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26">
        <f>B39/B38*100</f>
        <v>35.339717282261738</v>
      </c>
      <c r="C40" s="26">
        <f t="shared" ref="C40:H40" si="57">C39/C38*100</f>
        <v>117.98265632131447</v>
      </c>
      <c r="D40" s="26">
        <f t="shared" si="57"/>
        <v>121.89477490508045</v>
      </c>
      <c r="E40" s="26">
        <f t="shared" si="57"/>
        <v>38.508064516129032</v>
      </c>
      <c r="F40" s="26">
        <f t="shared" si="57"/>
        <v>14.116002795248079</v>
      </c>
      <c r="G40" s="26">
        <f t="shared" si="57"/>
        <v>2.7863777089783279</v>
      </c>
      <c r="H40" s="26">
        <f t="shared" si="57"/>
        <v>302.5940996948118</v>
      </c>
      <c r="J40" s="6" t="s">
        <v>12</v>
      </c>
      <c r="K40" s="26">
        <f>K39/K38*100</f>
        <v>46.660567246111626</v>
      </c>
      <c r="L40" s="26">
        <f t="shared" ref="L40:Q40" si="58">L39/L38*100</f>
        <v>140.57796508127635</v>
      </c>
      <c r="M40" s="26">
        <f t="shared" si="58"/>
        <v>163.36173508907822</v>
      </c>
      <c r="N40" s="26">
        <f t="shared" si="58"/>
        <v>260.24096385542168</v>
      </c>
      <c r="O40" s="26">
        <f t="shared" si="58"/>
        <v>39.566395663956641</v>
      </c>
      <c r="P40" s="26">
        <f t="shared" si="58"/>
        <v>8.5</v>
      </c>
      <c r="Q40" s="26">
        <f t="shared" si="58"/>
        <v>272.30215827338128</v>
      </c>
      <c r="R40" s="6" t="s">
        <v>12</v>
      </c>
      <c r="S40" s="26">
        <f>S39/S38*100</f>
        <v>24.200913242009133</v>
      </c>
      <c r="T40" s="26">
        <f t="shared" ref="T40:Y40" si="59">T39/T38*100</f>
        <v>110.61224489795917</v>
      </c>
      <c r="U40" s="26">
        <f t="shared" si="59"/>
        <v>109.52718676122932</v>
      </c>
      <c r="V40" s="26">
        <f t="shared" si="59"/>
        <v>10.665658093797276</v>
      </c>
      <c r="W40" s="26">
        <f t="shared" si="59"/>
        <v>5.2780395852968898</v>
      </c>
      <c r="X40" s="26">
        <f t="shared" si="59"/>
        <v>0.22573363431151239</v>
      </c>
      <c r="Y40" s="26">
        <f t="shared" si="59"/>
        <v>315.88319088319088</v>
      </c>
      <c r="AA40" s="6" t="s">
        <v>12</v>
      </c>
      <c r="AB40" s="26">
        <f>AB39/AB38*100</f>
        <v>0</v>
      </c>
      <c r="AC40" s="26">
        <f t="shared" ref="AC40:AH40" si="60">AC39/AC38*100</f>
        <v>61.902594446973147</v>
      </c>
      <c r="AD40" s="26">
        <f t="shared" si="60"/>
        <v>54.659318637274545</v>
      </c>
      <c r="AE40" s="26">
        <f t="shared" si="60"/>
        <v>0.91743119266055051</v>
      </c>
      <c r="AF40" s="26">
        <f t="shared" si="60"/>
        <v>1.935483870967742</v>
      </c>
      <c r="AG40" s="26">
        <f t="shared" si="60"/>
        <v>0</v>
      </c>
      <c r="AH40" s="26">
        <f t="shared" si="60"/>
        <v>167.96875</v>
      </c>
      <c r="AJ40" s="6" t="s">
        <v>12</v>
      </c>
      <c r="AK40" s="26">
        <f>AK39/AK38*100</f>
        <v>0</v>
      </c>
      <c r="AL40" s="26">
        <f t="shared" ref="AL40:AQ40" si="61">AL39/AL38*100</f>
        <v>0</v>
      </c>
      <c r="AM40" s="26">
        <f t="shared" si="61"/>
        <v>0</v>
      </c>
      <c r="AN40" s="26" t="e">
        <f t="shared" si="61"/>
        <v>#DIV/0!</v>
      </c>
      <c r="AO40" s="26">
        <f t="shared" si="61"/>
        <v>0</v>
      </c>
      <c r="AP40" s="26">
        <f t="shared" si="61"/>
        <v>0</v>
      </c>
      <c r="AQ40" s="26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2"/>
      <c r="C45" s="193"/>
      <c r="D45" s="192"/>
      <c r="E45" s="192"/>
      <c r="F45" s="192"/>
      <c r="G45" s="192"/>
      <c r="H45" s="194"/>
    </row>
    <row r="46" spans="1:43">
      <c r="A46" s="82" t="s">
        <v>40</v>
      </c>
      <c r="B46" s="83">
        <f t="shared" ref="B46:H47" si="62">K9+S9+AK9</f>
        <v>910.4</v>
      </c>
      <c r="C46" s="83">
        <f t="shared" si="62"/>
        <v>36529</v>
      </c>
      <c r="D46" s="83">
        <f t="shared" si="62"/>
        <v>32695</v>
      </c>
      <c r="E46" s="83">
        <f t="shared" si="62"/>
        <v>5974</v>
      </c>
      <c r="F46" s="83">
        <f t="shared" si="62"/>
        <v>9118</v>
      </c>
      <c r="G46" s="83">
        <f t="shared" si="62"/>
        <v>5360</v>
      </c>
      <c r="H46" s="83">
        <f t="shared" si="62"/>
        <v>12243</v>
      </c>
    </row>
    <row r="47" spans="1:43">
      <c r="A47" s="84" t="s">
        <v>50</v>
      </c>
      <c r="B47" s="83">
        <f t="shared" si="62"/>
        <v>575.20000000000005</v>
      </c>
      <c r="C47" s="83">
        <f t="shared" si="62"/>
        <v>36595</v>
      </c>
      <c r="D47" s="83">
        <f t="shared" si="62"/>
        <v>33109</v>
      </c>
      <c r="E47" s="83">
        <f t="shared" si="62"/>
        <v>7343</v>
      </c>
      <c r="F47" s="83">
        <f t="shared" si="62"/>
        <v>2395</v>
      </c>
      <c r="G47" s="83">
        <f t="shared" si="62"/>
        <v>995</v>
      </c>
      <c r="H47" s="83">
        <f t="shared" si="62"/>
        <v>22376</v>
      </c>
      <c r="K47" s="25"/>
      <c r="L47" s="25"/>
      <c r="M47" s="25"/>
      <c r="N47" s="25"/>
      <c r="O47" s="25"/>
      <c r="P47" s="25"/>
      <c r="Q47" s="25"/>
      <c r="S47" s="25"/>
      <c r="T47" s="25"/>
      <c r="U47" s="25"/>
      <c r="V47" s="25"/>
      <c r="W47" s="25"/>
      <c r="X47" s="25"/>
      <c r="Y47" s="25"/>
      <c r="AB47" s="25"/>
      <c r="AC47" s="25"/>
      <c r="AD47" s="25"/>
      <c r="AE47" s="25"/>
      <c r="AF47" s="25"/>
      <c r="AG47" s="25"/>
      <c r="AH47" s="25"/>
    </row>
    <row r="48" spans="1:43">
      <c r="A48" s="85" t="s">
        <v>44</v>
      </c>
      <c r="B48" s="86">
        <f>B47/B46*100</f>
        <v>63.181019332161689</v>
      </c>
      <c r="C48" s="86">
        <f t="shared" ref="C48:H48" si="63">C47/C46*100</f>
        <v>100.18067836513455</v>
      </c>
      <c r="D48" s="86">
        <f t="shared" si="63"/>
        <v>101.2662486618749</v>
      </c>
      <c r="E48" s="86">
        <f t="shared" si="63"/>
        <v>122.9159691998661</v>
      </c>
      <c r="F48" s="86">
        <f t="shared" si="63"/>
        <v>26.266725159026098</v>
      </c>
      <c r="G48" s="86">
        <f t="shared" si="63"/>
        <v>18.563432835820894</v>
      </c>
      <c r="H48" s="86">
        <f t="shared" si="63"/>
        <v>182.76566201094505</v>
      </c>
    </row>
    <row r="49" spans="1:34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34">
      <c r="A50" s="75" t="s">
        <v>40</v>
      </c>
      <c r="B50" s="90">
        <f t="shared" ref="B50:H51" si="64">K13+S13+AK13</f>
        <v>6.5</v>
      </c>
      <c r="C50" s="90">
        <f t="shared" si="64"/>
        <v>395</v>
      </c>
      <c r="D50" s="90">
        <f t="shared" si="64"/>
        <v>333</v>
      </c>
      <c r="E50" s="90">
        <f t="shared" si="64"/>
        <v>90</v>
      </c>
      <c r="F50" s="90">
        <f t="shared" si="64"/>
        <v>119</v>
      </c>
      <c r="G50" s="90">
        <f t="shared" si="64"/>
        <v>85</v>
      </c>
      <c r="H50" s="90">
        <f t="shared" si="64"/>
        <v>39</v>
      </c>
    </row>
    <row r="51" spans="1:34">
      <c r="A51" s="75" t="s">
        <v>50</v>
      </c>
      <c r="B51" s="90">
        <f t="shared" si="64"/>
        <v>0</v>
      </c>
      <c r="C51" s="90">
        <f t="shared" si="64"/>
        <v>0</v>
      </c>
      <c r="D51" s="90">
        <f t="shared" si="64"/>
        <v>0</v>
      </c>
      <c r="E51" s="90">
        <f t="shared" si="64"/>
        <v>0</v>
      </c>
      <c r="F51" s="90">
        <f t="shared" si="64"/>
        <v>0</v>
      </c>
      <c r="G51" s="90">
        <f t="shared" si="64"/>
        <v>0</v>
      </c>
      <c r="H51" s="90">
        <f t="shared" si="64"/>
        <v>0</v>
      </c>
    </row>
    <row r="52" spans="1:34">
      <c r="A52" s="75" t="s">
        <v>44</v>
      </c>
      <c r="B52" s="91">
        <f t="shared" ref="B52:H52" si="65">B51/B50*100</f>
        <v>0</v>
      </c>
      <c r="C52" s="91">
        <f t="shared" si="65"/>
        <v>0</v>
      </c>
      <c r="D52" s="91">
        <f t="shared" si="65"/>
        <v>0</v>
      </c>
      <c r="E52" s="91">
        <f t="shared" si="65"/>
        <v>0</v>
      </c>
      <c r="F52" s="91">
        <f t="shared" si="65"/>
        <v>0</v>
      </c>
      <c r="G52" s="91">
        <f t="shared" si="65"/>
        <v>0</v>
      </c>
      <c r="H52" s="91">
        <f t="shared" si="65"/>
        <v>0</v>
      </c>
      <c r="K52" s="25"/>
      <c r="L52" s="25"/>
      <c r="M52" s="25"/>
      <c r="N52" s="25"/>
      <c r="O52" s="25"/>
      <c r="P52" s="25"/>
      <c r="Q52" s="25"/>
      <c r="S52" s="25"/>
      <c r="T52" s="25"/>
      <c r="U52" s="25"/>
      <c r="V52" s="25"/>
      <c r="W52" s="25"/>
      <c r="X52" s="25"/>
      <c r="Y52" s="25"/>
      <c r="AB52" s="25"/>
      <c r="AC52" s="25"/>
      <c r="AD52" s="25"/>
      <c r="AE52" s="25"/>
      <c r="AF52" s="25"/>
      <c r="AG52" s="25"/>
      <c r="AH52" s="25"/>
    </row>
    <row r="53" spans="1:34">
      <c r="A53" s="75" t="s">
        <v>13</v>
      </c>
      <c r="B53" s="90">
        <f t="shared" ref="B53:H55" si="66">K16+S16+AK16</f>
        <v>0</v>
      </c>
      <c r="C53" s="90">
        <f t="shared" si="66"/>
        <v>0</v>
      </c>
      <c r="D53" s="90">
        <f t="shared" si="66"/>
        <v>0</v>
      </c>
      <c r="E53" s="90">
        <f t="shared" si="66"/>
        <v>0</v>
      </c>
      <c r="F53" s="90">
        <f t="shared" si="66"/>
        <v>0</v>
      </c>
      <c r="G53" s="90">
        <f t="shared" si="66"/>
        <v>0</v>
      </c>
      <c r="H53" s="90">
        <f t="shared" si="66"/>
        <v>0</v>
      </c>
    </row>
    <row r="54" spans="1:34">
      <c r="A54" s="92" t="s">
        <v>14</v>
      </c>
      <c r="B54" s="90">
        <f t="shared" si="66"/>
        <v>0</v>
      </c>
      <c r="C54" s="90">
        <f t="shared" si="66"/>
        <v>0</v>
      </c>
      <c r="D54" s="90">
        <f t="shared" si="66"/>
        <v>0</v>
      </c>
      <c r="E54" s="90">
        <f t="shared" si="66"/>
        <v>0</v>
      </c>
      <c r="F54" s="90">
        <f t="shared" si="66"/>
        <v>0</v>
      </c>
      <c r="G54" s="90">
        <f t="shared" si="66"/>
        <v>0</v>
      </c>
      <c r="H54" s="90">
        <f t="shared" si="66"/>
        <v>0</v>
      </c>
    </row>
    <row r="55" spans="1:34">
      <c r="A55" s="75" t="s">
        <v>15</v>
      </c>
      <c r="B55" s="90">
        <f t="shared" si="66"/>
        <v>0</v>
      </c>
      <c r="C55" s="90">
        <f t="shared" si="66"/>
        <v>0</v>
      </c>
      <c r="D55" s="90">
        <f t="shared" si="66"/>
        <v>0</v>
      </c>
      <c r="E55" s="90">
        <f t="shared" si="66"/>
        <v>0</v>
      </c>
      <c r="F55" s="90">
        <f t="shared" si="66"/>
        <v>0</v>
      </c>
      <c r="G55" s="90">
        <f t="shared" si="66"/>
        <v>0</v>
      </c>
      <c r="H55" s="90">
        <f t="shared" si="66"/>
        <v>0</v>
      </c>
    </row>
    <row r="56" spans="1:34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34">
      <c r="A57" s="75" t="s">
        <v>40</v>
      </c>
      <c r="B57" s="90">
        <f t="shared" ref="B57:H58" si="67">K20+S20+AK20</f>
        <v>903.9</v>
      </c>
      <c r="C57" s="90">
        <f t="shared" si="67"/>
        <v>36134</v>
      </c>
      <c r="D57" s="90">
        <f t="shared" si="67"/>
        <v>32362</v>
      </c>
      <c r="E57" s="90">
        <f t="shared" si="67"/>
        <v>5884</v>
      </c>
      <c r="F57" s="90">
        <f t="shared" si="67"/>
        <v>8999</v>
      </c>
      <c r="G57" s="90">
        <f t="shared" si="67"/>
        <v>5275</v>
      </c>
      <c r="H57" s="90">
        <f t="shared" si="67"/>
        <v>12204</v>
      </c>
    </row>
    <row r="58" spans="1:34">
      <c r="A58" s="92" t="s">
        <v>50</v>
      </c>
      <c r="B58" s="90">
        <f t="shared" si="67"/>
        <v>575.20000000000005</v>
      </c>
      <c r="C58" s="90">
        <f t="shared" si="67"/>
        <v>36595</v>
      </c>
      <c r="D58" s="90">
        <f t="shared" si="67"/>
        <v>33109</v>
      </c>
      <c r="E58" s="90">
        <f t="shared" si="67"/>
        <v>7343</v>
      </c>
      <c r="F58" s="90">
        <f t="shared" si="67"/>
        <v>2395</v>
      </c>
      <c r="G58" s="90">
        <f t="shared" si="67"/>
        <v>995</v>
      </c>
      <c r="H58" s="90">
        <f t="shared" si="67"/>
        <v>22376</v>
      </c>
    </row>
    <row r="59" spans="1:34">
      <c r="A59" s="75" t="s">
        <v>44</v>
      </c>
      <c r="B59" s="91">
        <f t="shared" ref="B59:H59" si="68">B58/B57*100</f>
        <v>63.635357893572305</v>
      </c>
      <c r="C59" s="91">
        <f t="shared" si="68"/>
        <v>101.27580671943322</v>
      </c>
      <c r="D59" s="91">
        <f t="shared" si="68"/>
        <v>102.30826277733145</v>
      </c>
      <c r="E59" s="91">
        <f t="shared" si="68"/>
        <v>124.79605710401087</v>
      </c>
      <c r="F59" s="91">
        <f t="shared" si="68"/>
        <v>26.614068229803312</v>
      </c>
      <c r="G59" s="91">
        <f t="shared" si="68"/>
        <v>18.862559241706162</v>
      </c>
      <c r="H59" s="91">
        <f t="shared" si="68"/>
        <v>183.34972140281874</v>
      </c>
    </row>
    <row r="60" spans="1:34">
      <c r="A60" s="75" t="s">
        <v>21</v>
      </c>
      <c r="B60" s="90">
        <f t="shared" ref="B60:H61" si="69">K23+S23+AK23</f>
        <v>0</v>
      </c>
      <c r="C60" s="90">
        <f t="shared" si="69"/>
        <v>0</v>
      </c>
      <c r="D60" s="90">
        <f t="shared" si="69"/>
        <v>0</v>
      </c>
      <c r="E60" s="90">
        <f t="shared" si="69"/>
        <v>0</v>
      </c>
      <c r="F60" s="90">
        <f t="shared" si="69"/>
        <v>0</v>
      </c>
      <c r="G60" s="90">
        <f t="shared" si="69"/>
        <v>0</v>
      </c>
      <c r="H60" s="90">
        <f t="shared" si="69"/>
        <v>0</v>
      </c>
    </row>
    <row r="61" spans="1:34">
      <c r="A61" s="75" t="s">
        <v>51</v>
      </c>
      <c r="B61" s="90">
        <f t="shared" si="69"/>
        <v>0</v>
      </c>
      <c r="C61" s="90">
        <f t="shared" si="69"/>
        <v>0</v>
      </c>
      <c r="D61" s="90">
        <f t="shared" si="69"/>
        <v>0</v>
      </c>
      <c r="E61" s="90">
        <f t="shared" si="69"/>
        <v>0</v>
      </c>
      <c r="F61" s="90">
        <f t="shared" si="69"/>
        <v>0</v>
      </c>
      <c r="G61" s="90">
        <f t="shared" si="69"/>
        <v>0</v>
      </c>
      <c r="H61" s="90">
        <f t="shared" si="69"/>
        <v>0</v>
      </c>
      <c r="K61" s="25"/>
      <c r="L61" s="25"/>
      <c r="M61" s="25"/>
      <c r="N61" s="25"/>
      <c r="O61" s="25"/>
      <c r="P61" s="25"/>
      <c r="Q61" s="25"/>
    </row>
    <row r="62" spans="1:34">
      <c r="A62" s="75" t="s">
        <v>12</v>
      </c>
      <c r="B62" s="91" t="e">
        <f t="shared" ref="B62:H62" si="70">B61/B60*100</f>
        <v>#DIV/0!</v>
      </c>
      <c r="C62" s="91" t="e">
        <f t="shared" si="70"/>
        <v>#DIV/0!</v>
      </c>
      <c r="D62" s="91" t="e">
        <f t="shared" si="70"/>
        <v>#DIV/0!</v>
      </c>
      <c r="E62" s="91" t="e">
        <f t="shared" si="70"/>
        <v>#DIV/0!</v>
      </c>
      <c r="F62" s="91" t="e">
        <f t="shared" si="70"/>
        <v>#DIV/0!</v>
      </c>
      <c r="G62" s="91" t="e">
        <f t="shared" si="70"/>
        <v>#DIV/0!</v>
      </c>
      <c r="H62" s="91" t="e">
        <f t="shared" si="70"/>
        <v>#DIV/0!</v>
      </c>
    </row>
    <row r="63" spans="1:34">
      <c r="A63" s="75" t="s">
        <v>23</v>
      </c>
      <c r="B63" s="90">
        <f t="shared" ref="B63:H64" si="71">K26+S26+AK26</f>
        <v>138</v>
      </c>
      <c r="C63" s="90">
        <f t="shared" si="71"/>
        <v>5508</v>
      </c>
      <c r="D63" s="90">
        <f t="shared" si="71"/>
        <v>5127</v>
      </c>
      <c r="E63" s="90">
        <f t="shared" si="71"/>
        <v>1345</v>
      </c>
      <c r="F63" s="90">
        <f t="shared" si="71"/>
        <v>1367</v>
      </c>
      <c r="G63" s="90">
        <f t="shared" si="71"/>
        <v>590</v>
      </c>
      <c r="H63" s="90">
        <f t="shared" si="71"/>
        <v>1825</v>
      </c>
    </row>
    <row r="64" spans="1:34">
      <c r="A64" s="75" t="s">
        <v>45</v>
      </c>
      <c r="B64" s="90">
        <f t="shared" si="71"/>
        <v>66.3</v>
      </c>
      <c r="C64" s="90">
        <f t="shared" si="71"/>
        <v>1973</v>
      </c>
      <c r="D64" s="90">
        <f t="shared" si="71"/>
        <v>1662</v>
      </c>
      <c r="E64" s="90">
        <f t="shared" si="71"/>
        <v>327</v>
      </c>
      <c r="F64" s="90">
        <f t="shared" si="71"/>
        <v>75</v>
      </c>
      <c r="G64" s="90">
        <f t="shared" si="71"/>
        <v>3</v>
      </c>
      <c r="H64" s="90">
        <f t="shared" si="71"/>
        <v>1257</v>
      </c>
    </row>
    <row r="65" spans="1:8">
      <c r="A65" s="75" t="s">
        <v>12</v>
      </c>
      <c r="B65" s="91">
        <f t="shared" ref="B65:H65" si="72">B64/B63*100</f>
        <v>48.043478260869563</v>
      </c>
      <c r="C65" s="91">
        <f t="shared" si="72"/>
        <v>35.820624546114743</v>
      </c>
      <c r="D65" s="91">
        <f t="shared" si="72"/>
        <v>32.416617905207723</v>
      </c>
      <c r="E65" s="91">
        <f t="shared" si="72"/>
        <v>24.312267657992564</v>
      </c>
      <c r="F65" s="91">
        <f t="shared" si="72"/>
        <v>5.4864667154352595</v>
      </c>
      <c r="G65" s="91">
        <f t="shared" si="72"/>
        <v>0.50847457627118642</v>
      </c>
      <c r="H65" s="91">
        <f t="shared" si="72"/>
        <v>68.876712328767127</v>
      </c>
    </row>
    <row r="66" spans="1:8">
      <c r="A66" s="75" t="s">
        <v>25</v>
      </c>
      <c r="B66" s="90">
        <f t="shared" ref="B66:H67" si="73">K29+S29+AK29</f>
        <v>504.5</v>
      </c>
      <c r="C66" s="90">
        <f t="shared" si="73"/>
        <v>20762</v>
      </c>
      <c r="D66" s="90">
        <f t="shared" si="73"/>
        <v>18775</v>
      </c>
      <c r="E66" s="90">
        <f t="shared" si="73"/>
        <v>3011</v>
      </c>
      <c r="F66" s="90">
        <f t="shared" si="73"/>
        <v>5363</v>
      </c>
      <c r="G66" s="90">
        <f t="shared" si="73"/>
        <v>2869</v>
      </c>
      <c r="H66" s="90">
        <f t="shared" si="73"/>
        <v>7532</v>
      </c>
    </row>
    <row r="67" spans="1:8">
      <c r="A67" s="75" t="s">
        <v>46</v>
      </c>
      <c r="B67" s="90">
        <f t="shared" si="73"/>
        <v>379.79999999999995</v>
      </c>
      <c r="C67" s="90">
        <f t="shared" si="73"/>
        <v>22107</v>
      </c>
      <c r="D67" s="90">
        <f t="shared" si="73"/>
        <v>20606</v>
      </c>
      <c r="E67" s="90">
        <f t="shared" si="73"/>
        <v>6214</v>
      </c>
      <c r="F67" s="90">
        <f t="shared" si="73"/>
        <v>1174</v>
      </c>
      <c r="G67" s="90">
        <f t="shared" si="73"/>
        <v>27</v>
      </c>
      <c r="H67" s="90">
        <f t="shared" si="73"/>
        <v>13191</v>
      </c>
    </row>
    <row r="68" spans="1:8">
      <c r="A68" s="75" t="s">
        <v>12</v>
      </c>
      <c r="B68" s="91">
        <f t="shared" ref="B68:H68" si="74">B67/B66*100</f>
        <v>75.282457879088199</v>
      </c>
      <c r="C68" s="91">
        <f t="shared" si="74"/>
        <v>106.47818129274636</v>
      </c>
      <c r="D68" s="91">
        <f t="shared" si="74"/>
        <v>109.75233022636483</v>
      </c>
      <c r="E68" s="91">
        <f t="shared" si="74"/>
        <v>206.37661906343411</v>
      </c>
      <c r="F68" s="91">
        <f t="shared" si="74"/>
        <v>21.890732798806638</v>
      </c>
      <c r="G68" s="91">
        <f t="shared" si="74"/>
        <v>0.9410944579993028</v>
      </c>
      <c r="H68" s="91">
        <f t="shared" si="74"/>
        <v>175.13276686139139</v>
      </c>
    </row>
    <row r="69" spans="1:8">
      <c r="A69" s="75" t="s">
        <v>27</v>
      </c>
      <c r="B69" s="90">
        <f t="shared" ref="B69:H70" si="75">K32+S32+AK32</f>
        <v>0.4</v>
      </c>
      <c r="C69" s="90">
        <f t="shared" si="75"/>
        <v>16</v>
      </c>
      <c r="D69" s="90">
        <f t="shared" si="75"/>
        <v>16</v>
      </c>
      <c r="E69" s="90">
        <f t="shared" si="75"/>
        <v>8</v>
      </c>
      <c r="F69" s="90">
        <f t="shared" si="75"/>
        <v>3</v>
      </c>
      <c r="G69" s="90">
        <f t="shared" si="75"/>
        <v>0</v>
      </c>
      <c r="H69" s="90">
        <f t="shared" si="75"/>
        <v>5</v>
      </c>
    </row>
    <row r="70" spans="1:8">
      <c r="A70" s="75" t="s">
        <v>47</v>
      </c>
      <c r="B70" s="90">
        <f t="shared" si="75"/>
        <v>0</v>
      </c>
      <c r="C70" s="90">
        <f t="shared" si="75"/>
        <v>0</v>
      </c>
      <c r="D70" s="90">
        <f t="shared" si="75"/>
        <v>0</v>
      </c>
      <c r="E70" s="90">
        <f t="shared" si="75"/>
        <v>0</v>
      </c>
      <c r="F70" s="90">
        <f t="shared" si="75"/>
        <v>0</v>
      </c>
      <c r="G70" s="90">
        <f t="shared" si="75"/>
        <v>0</v>
      </c>
      <c r="H70" s="90">
        <f t="shared" si="75"/>
        <v>0</v>
      </c>
    </row>
    <row r="71" spans="1:8">
      <c r="A71" s="75" t="s">
        <v>12</v>
      </c>
      <c r="B71" s="91">
        <f t="shared" ref="B71:H71" si="76">B70/B69*100</f>
        <v>0</v>
      </c>
      <c r="C71" s="91">
        <f t="shared" si="76"/>
        <v>0</v>
      </c>
      <c r="D71" s="91">
        <f t="shared" si="76"/>
        <v>0</v>
      </c>
      <c r="E71" s="91">
        <f t="shared" si="76"/>
        <v>0</v>
      </c>
      <c r="F71" s="91">
        <f t="shared" si="76"/>
        <v>0</v>
      </c>
      <c r="G71" s="91" t="e">
        <f t="shared" si="76"/>
        <v>#DIV/0!</v>
      </c>
      <c r="H71" s="91">
        <f t="shared" si="76"/>
        <v>0</v>
      </c>
    </row>
    <row r="72" spans="1:8">
      <c r="A72" s="75" t="s">
        <v>29</v>
      </c>
      <c r="B72" s="90">
        <f t="shared" ref="B72:H73" si="77">K35+S35+AK35</f>
        <v>41.7</v>
      </c>
      <c r="C72" s="90">
        <f t="shared" si="77"/>
        <v>3275</v>
      </c>
      <c r="D72" s="90">
        <f t="shared" si="77"/>
        <v>2913</v>
      </c>
      <c r="E72" s="90">
        <f t="shared" si="77"/>
        <v>32</v>
      </c>
      <c r="F72" s="90">
        <f t="shared" si="77"/>
        <v>835</v>
      </c>
      <c r="G72" s="90">
        <f t="shared" si="77"/>
        <v>1170</v>
      </c>
      <c r="H72" s="90">
        <f t="shared" si="77"/>
        <v>876</v>
      </c>
    </row>
    <row r="73" spans="1:8">
      <c r="A73" s="75" t="s">
        <v>48</v>
      </c>
      <c r="B73" s="90">
        <f t="shared" si="77"/>
        <v>51.599999999999994</v>
      </c>
      <c r="C73" s="90">
        <f t="shared" si="77"/>
        <v>4760</v>
      </c>
      <c r="D73" s="90">
        <f t="shared" si="77"/>
        <v>4099</v>
      </c>
      <c r="E73" s="90">
        <f t="shared" si="77"/>
        <v>229</v>
      </c>
      <c r="F73" s="90">
        <f t="shared" si="77"/>
        <v>944</v>
      </c>
      <c r="G73" s="90">
        <f t="shared" si="77"/>
        <v>947</v>
      </c>
      <c r="H73" s="90">
        <f t="shared" si="77"/>
        <v>1979</v>
      </c>
    </row>
    <row r="74" spans="1:8">
      <c r="A74" s="75" t="s">
        <v>12</v>
      </c>
      <c r="B74" s="91">
        <f t="shared" ref="B74:H74" si="78">B73/B72*100</f>
        <v>123.74100719424459</v>
      </c>
      <c r="C74" s="91">
        <f t="shared" si="78"/>
        <v>145.34351145038167</v>
      </c>
      <c r="D74" s="91">
        <f t="shared" si="78"/>
        <v>140.71404050806728</v>
      </c>
      <c r="E74" s="91">
        <f t="shared" si="78"/>
        <v>715.625</v>
      </c>
      <c r="F74" s="91">
        <f t="shared" si="78"/>
        <v>113.05389221556885</v>
      </c>
      <c r="G74" s="91">
        <f t="shared" si="78"/>
        <v>80.940170940170944</v>
      </c>
      <c r="H74" s="91">
        <f t="shared" si="78"/>
        <v>225.9132420091324</v>
      </c>
    </row>
    <row r="75" spans="1:8">
      <c r="A75" s="75" t="s">
        <v>31</v>
      </c>
      <c r="B75" s="90">
        <f t="shared" ref="B75:H76" si="79">K38+S38+AK38</f>
        <v>219.3</v>
      </c>
      <c r="C75" s="90">
        <f t="shared" si="79"/>
        <v>6573</v>
      </c>
      <c r="D75" s="90">
        <f t="shared" si="79"/>
        <v>5531</v>
      </c>
      <c r="E75" s="90">
        <f t="shared" si="79"/>
        <v>1488</v>
      </c>
      <c r="F75" s="90">
        <f t="shared" si="79"/>
        <v>1431</v>
      </c>
      <c r="G75" s="90">
        <f t="shared" si="79"/>
        <v>646</v>
      </c>
      <c r="H75" s="90">
        <f t="shared" si="79"/>
        <v>1966</v>
      </c>
    </row>
    <row r="76" spans="1:8">
      <c r="A76" s="75" t="s">
        <v>52</v>
      </c>
      <c r="B76" s="90">
        <f t="shared" si="79"/>
        <v>77.5</v>
      </c>
      <c r="C76" s="90">
        <f t="shared" si="79"/>
        <v>7755</v>
      </c>
      <c r="D76" s="90">
        <f t="shared" si="79"/>
        <v>6742</v>
      </c>
      <c r="E76" s="90">
        <f t="shared" si="79"/>
        <v>573</v>
      </c>
      <c r="F76" s="90">
        <f t="shared" si="79"/>
        <v>202</v>
      </c>
      <c r="G76" s="90">
        <f t="shared" si="79"/>
        <v>18</v>
      </c>
      <c r="H76" s="90">
        <f t="shared" si="79"/>
        <v>5949</v>
      </c>
    </row>
    <row r="77" spans="1:8">
      <c r="A77" s="75" t="s">
        <v>12</v>
      </c>
      <c r="B77" s="91">
        <f t="shared" ref="B77:H77" si="80">B76/B75*100</f>
        <v>35.339717282261738</v>
      </c>
      <c r="C77" s="91">
        <f t="shared" si="80"/>
        <v>117.98265632131447</v>
      </c>
      <c r="D77" s="91">
        <f t="shared" si="80"/>
        <v>121.89477490508045</v>
      </c>
      <c r="E77" s="91">
        <f t="shared" si="80"/>
        <v>38.508064516129032</v>
      </c>
      <c r="F77" s="91">
        <f t="shared" si="80"/>
        <v>14.116002795248079</v>
      </c>
      <c r="G77" s="91">
        <f t="shared" si="80"/>
        <v>2.7863777089783279</v>
      </c>
      <c r="H77" s="91">
        <f t="shared" si="80"/>
        <v>302.5940996948118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2"/>
      <c r="C82" s="193"/>
      <c r="D82" s="192"/>
      <c r="E82" s="192"/>
      <c r="F82" s="192"/>
      <c r="G82" s="192"/>
      <c r="H82" s="194"/>
    </row>
    <row r="83" spans="1:8">
      <c r="A83" s="82" t="s">
        <v>40</v>
      </c>
      <c r="B83" s="83">
        <f t="shared" ref="B83:H98" si="81">B9-B46</f>
        <v>0</v>
      </c>
      <c r="C83" s="83">
        <f t="shared" si="81"/>
        <v>0</v>
      </c>
      <c r="D83" s="83">
        <f t="shared" si="81"/>
        <v>0</v>
      </c>
      <c r="E83" s="83">
        <f t="shared" si="81"/>
        <v>0</v>
      </c>
      <c r="F83" s="83">
        <f t="shared" si="81"/>
        <v>0</v>
      </c>
      <c r="G83" s="83">
        <f t="shared" si="81"/>
        <v>0</v>
      </c>
      <c r="H83" s="83">
        <f t="shared" si="81"/>
        <v>0</v>
      </c>
    </row>
    <row r="84" spans="1:8">
      <c r="A84" s="84" t="s">
        <v>50</v>
      </c>
      <c r="B84" s="83">
        <f t="shared" si="81"/>
        <v>0</v>
      </c>
      <c r="C84" s="83">
        <f t="shared" si="81"/>
        <v>0</v>
      </c>
      <c r="D84" s="83">
        <f t="shared" si="81"/>
        <v>0</v>
      </c>
      <c r="E84" s="83">
        <f t="shared" si="81"/>
        <v>0</v>
      </c>
      <c r="F84" s="83">
        <f t="shared" si="81"/>
        <v>0</v>
      </c>
      <c r="G84" s="83">
        <f t="shared" si="81"/>
        <v>0</v>
      </c>
      <c r="H84" s="83">
        <f t="shared" si="81"/>
        <v>0</v>
      </c>
    </row>
    <row r="85" spans="1:8">
      <c r="A85" s="85" t="s">
        <v>44</v>
      </c>
      <c r="B85" s="83">
        <f t="shared" si="81"/>
        <v>0</v>
      </c>
      <c r="C85" s="83">
        <f t="shared" si="81"/>
        <v>0</v>
      </c>
      <c r="D85" s="83">
        <f t="shared" si="81"/>
        <v>0</v>
      </c>
      <c r="E85" s="83">
        <f t="shared" si="81"/>
        <v>0</v>
      </c>
      <c r="F85" s="83">
        <f t="shared" si="81"/>
        <v>0</v>
      </c>
      <c r="G85" s="83">
        <f t="shared" si="81"/>
        <v>0</v>
      </c>
      <c r="H85" s="83">
        <f t="shared" si="81"/>
        <v>0</v>
      </c>
    </row>
    <row r="86" spans="1:8">
      <c r="A86" s="87" t="s">
        <v>11</v>
      </c>
      <c r="B86" s="83">
        <f t="shared" si="81"/>
        <v>0</v>
      </c>
      <c r="C86" s="83">
        <f t="shared" si="81"/>
        <v>0</v>
      </c>
      <c r="D86" s="83">
        <f t="shared" si="81"/>
        <v>0</v>
      </c>
      <c r="E86" s="83">
        <f t="shared" si="81"/>
        <v>0</v>
      </c>
      <c r="F86" s="83">
        <f t="shared" si="81"/>
        <v>0</v>
      </c>
      <c r="G86" s="83">
        <f t="shared" si="81"/>
        <v>0</v>
      </c>
      <c r="H86" s="83">
        <f t="shared" si="81"/>
        <v>0</v>
      </c>
    </row>
    <row r="87" spans="1:8">
      <c r="A87" s="75" t="s">
        <v>40</v>
      </c>
      <c r="B87" s="83">
        <f t="shared" si="81"/>
        <v>0</v>
      </c>
      <c r="C87" s="83">
        <f t="shared" si="81"/>
        <v>0</v>
      </c>
      <c r="D87" s="83">
        <f t="shared" si="81"/>
        <v>0</v>
      </c>
      <c r="E87" s="83">
        <f t="shared" si="81"/>
        <v>0</v>
      </c>
      <c r="F87" s="83">
        <f t="shared" si="81"/>
        <v>0</v>
      </c>
      <c r="G87" s="83">
        <f t="shared" si="81"/>
        <v>0</v>
      </c>
      <c r="H87" s="83">
        <f t="shared" si="81"/>
        <v>0</v>
      </c>
    </row>
    <row r="88" spans="1:8">
      <c r="A88" s="75" t="s">
        <v>50</v>
      </c>
      <c r="B88" s="83">
        <f t="shared" si="81"/>
        <v>0</v>
      </c>
      <c r="C88" s="83">
        <f t="shared" si="81"/>
        <v>0</v>
      </c>
      <c r="D88" s="83">
        <f t="shared" si="81"/>
        <v>0</v>
      </c>
      <c r="E88" s="83">
        <f t="shared" si="81"/>
        <v>0</v>
      </c>
      <c r="F88" s="83">
        <f t="shared" si="81"/>
        <v>0</v>
      </c>
      <c r="G88" s="83">
        <f t="shared" si="81"/>
        <v>0</v>
      </c>
      <c r="H88" s="83">
        <f t="shared" si="81"/>
        <v>0</v>
      </c>
    </row>
    <row r="89" spans="1:8">
      <c r="A89" s="75" t="s">
        <v>44</v>
      </c>
      <c r="B89" s="83">
        <f t="shared" si="81"/>
        <v>0</v>
      </c>
      <c r="C89" s="83">
        <f t="shared" si="81"/>
        <v>0</v>
      </c>
      <c r="D89" s="83">
        <f t="shared" si="81"/>
        <v>0</v>
      </c>
      <c r="E89" s="83">
        <f t="shared" si="81"/>
        <v>0</v>
      </c>
      <c r="F89" s="83">
        <f t="shared" si="81"/>
        <v>0</v>
      </c>
      <c r="G89" s="83">
        <f t="shared" si="81"/>
        <v>0</v>
      </c>
      <c r="H89" s="83">
        <f t="shared" si="81"/>
        <v>0</v>
      </c>
    </row>
    <row r="90" spans="1:8">
      <c r="A90" s="75" t="s">
        <v>13</v>
      </c>
      <c r="B90" s="83">
        <f t="shared" si="81"/>
        <v>0</v>
      </c>
      <c r="C90" s="83">
        <f t="shared" si="81"/>
        <v>0</v>
      </c>
      <c r="D90" s="83">
        <f t="shared" si="81"/>
        <v>0</v>
      </c>
      <c r="E90" s="83">
        <f t="shared" si="81"/>
        <v>0</v>
      </c>
      <c r="F90" s="83">
        <f t="shared" si="81"/>
        <v>0</v>
      </c>
      <c r="G90" s="83">
        <f t="shared" si="81"/>
        <v>0</v>
      </c>
      <c r="H90" s="83">
        <f t="shared" si="81"/>
        <v>0</v>
      </c>
    </row>
    <row r="91" spans="1:8">
      <c r="A91" s="92" t="s">
        <v>14</v>
      </c>
      <c r="B91" s="83">
        <f t="shared" si="81"/>
        <v>0</v>
      </c>
      <c r="C91" s="83">
        <f t="shared" si="81"/>
        <v>0</v>
      </c>
      <c r="D91" s="83">
        <f t="shared" si="81"/>
        <v>0</v>
      </c>
      <c r="E91" s="83">
        <f t="shared" si="81"/>
        <v>0</v>
      </c>
      <c r="F91" s="83">
        <f t="shared" si="81"/>
        <v>0</v>
      </c>
      <c r="G91" s="83">
        <f t="shared" si="81"/>
        <v>0</v>
      </c>
      <c r="H91" s="83">
        <f t="shared" si="81"/>
        <v>0</v>
      </c>
    </row>
    <row r="92" spans="1:8">
      <c r="A92" s="75" t="s">
        <v>15</v>
      </c>
      <c r="B92" s="83">
        <f t="shared" si="81"/>
        <v>0</v>
      </c>
      <c r="C92" s="83">
        <f t="shared" si="81"/>
        <v>0</v>
      </c>
      <c r="D92" s="83">
        <f t="shared" si="81"/>
        <v>0</v>
      </c>
      <c r="E92" s="83">
        <f t="shared" si="81"/>
        <v>0</v>
      </c>
      <c r="F92" s="83">
        <f t="shared" si="81"/>
        <v>0</v>
      </c>
      <c r="G92" s="83">
        <f t="shared" si="81"/>
        <v>0</v>
      </c>
      <c r="H92" s="83">
        <f t="shared" si="81"/>
        <v>0</v>
      </c>
    </row>
    <row r="93" spans="1:8">
      <c r="A93" s="87" t="s">
        <v>16</v>
      </c>
      <c r="B93" s="83">
        <f t="shared" si="81"/>
        <v>0</v>
      </c>
      <c r="C93" s="83">
        <f t="shared" si="81"/>
        <v>0</v>
      </c>
      <c r="D93" s="83">
        <f t="shared" si="81"/>
        <v>0</v>
      </c>
      <c r="E93" s="83">
        <f t="shared" si="81"/>
        <v>0</v>
      </c>
      <c r="F93" s="83">
        <f t="shared" si="81"/>
        <v>0</v>
      </c>
      <c r="G93" s="83">
        <f t="shared" si="81"/>
        <v>0</v>
      </c>
      <c r="H93" s="83">
        <f t="shared" si="81"/>
        <v>0</v>
      </c>
    </row>
    <row r="94" spans="1:8">
      <c r="A94" s="75" t="s">
        <v>40</v>
      </c>
      <c r="B94" s="83">
        <f t="shared" si="81"/>
        <v>0</v>
      </c>
      <c r="C94" s="83">
        <f t="shared" si="81"/>
        <v>0</v>
      </c>
      <c r="D94" s="83">
        <f t="shared" si="81"/>
        <v>0</v>
      </c>
      <c r="E94" s="83">
        <f t="shared" si="81"/>
        <v>0</v>
      </c>
      <c r="F94" s="83">
        <f t="shared" si="81"/>
        <v>0</v>
      </c>
      <c r="G94" s="83">
        <f t="shared" si="81"/>
        <v>0</v>
      </c>
      <c r="H94" s="83">
        <f t="shared" si="81"/>
        <v>0</v>
      </c>
    </row>
    <row r="95" spans="1:8">
      <c r="A95" s="92" t="s">
        <v>50</v>
      </c>
      <c r="B95" s="83">
        <f t="shared" si="81"/>
        <v>0</v>
      </c>
      <c r="C95" s="83">
        <f t="shared" si="81"/>
        <v>0</v>
      </c>
      <c r="D95" s="83">
        <f t="shared" si="81"/>
        <v>0</v>
      </c>
      <c r="E95" s="83">
        <f t="shared" si="81"/>
        <v>0</v>
      </c>
      <c r="F95" s="83">
        <f t="shared" si="81"/>
        <v>0</v>
      </c>
      <c r="G95" s="83">
        <f t="shared" si="81"/>
        <v>0</v>
      </c>
      <c r="H95" s="83">
        <f t="shared" si="81"/>
        <v>0</v>
      </c>
    </row>
    <row r="96" spans="1:8">
      <c r="A96" s="75" t="s">
        <v>44</v>
      </c>
      <c r="B96" s="83">
        <f t="shared" si="81"/>
        <v>0</v>
      </c>
      <c r="C96" s="83">
        <f t="shared" si="81"/>
        <v>0</v>
      </c>
      <c r="D96" s="83">
        <f t="shared" si="81"/>
        <v>0</v>
      </c>
      <c r="E96" s="83">
        <f t="shared" si="81"/>
        <v>0</v>
      </c>
      <c r="F96" s="83">
        <f t="shared" si="81"/>
        <v>0</v>
      </c>
      <c r="G96" s="83">
        <f t="shared" si="81"/>
        <v>0</v>
      </c>
      <c r="H96" s="83">
        <f t="shared" si="81"/>
        <v>0</v>
      </c>
    </row>
    <row r="97" spans="1:8">
      <c r="A97" s="75" t="s">
        <v>21</v>
      </c>
      <c r="B97" s="83">
        <f t="shared" si="81"/>
        <v>0</v>
      </c>
      <c r="C97" s="83">
        <f t="shared" si="81"/>
        <v>0</v>
      </c>
      <c r="D97" s="83">
        <f t="shared" si="81"/>
        <v>0</v>
      </c>
      <c r="E97" s="83">
        <f t="shared" si="81"/>
        <v>0</v>
      </c>
      <c r="F97" s="83">
        <f t="shared" si="81"/>
        <v>0</v>
      </c>
      <c r="G97" s="83">
        <f t="shared" si="81"/>
        <v>0</v>
      </c>
      <c r="H97" s="83">
        <f t="shared" si="81"/>
        <v>0</v>
      </c>
    </row>
    <row r="98" spans="1:8">
      <c r="A98" s="75" t="s">
        <v>51</v>
      </c>
      <c r="B98" s="83">
        <f t="shared" si="81"/>
        <v>0</v>
      </c>
      <c r="C98" s="83">
        <f t="shared" si="81"/>
        <v>0</v>
      </c>
      <c r="D98" s="83">
        <f t="shared" si="81"/>
        <v>0</v>
      </c>
      <c r="E98" s="83">
        <f t="shared" si="81"/>
        <v>0</v>
      </c>
      <c r="F98" s="83">
        <f t="shared" si="81"/>
        <v>0</v>
      </c>
      <c r="G98" s="83">
        <f t="shared" si="81"/>
        <v>0</v>
      </c>
      <c r="H98" s="83">
        <f t="shared" si="81"/>
        <v>0</v>
      </c>
    </row>
    <row r="99" spans="1:8">
      <c r="A99" s="75" t="s">
        <v>12</v>
      </c>
      <c r="B99" s="83" t="e">
        <f t="shared" ref="B99:H114" si="82">B25-B62</f>
        <v>#DIV/0!</v>
      </c>
      <c r="C99" s="83" t="e">
        <f t="shared" si="82"/>
        <v>#DIV/0!</v>
      </c>
      <c r="D99" s="83" t="e">
        <f t="shared" si="82"/>
        <v>#DIV/0!</v>
      </c>
      <c r="E99" s="83" t="e">
        <f t="shared" si="82"/>
        <v>#DIV/0!</v>
      </c>
      <c r="F99" s="83" t="e">
        <f t="shared" si="82"/>
        <v>#DIV/0!</v>
      </c>
      <c r="G99" s="83" t="e">
        <f t="shared" si="82"/>
        <v>#DIV/0!</v>
      </c>
      <c r="H99" s="83" t="e">
        <f t="shared" si="82"/>
        <v>#DIV/0!</v>
      </c>
    </row>
    <row r="100" spans="1:8">
      <c r="A100" s="75" t="s">
        <v>23</v>
      </c>
      <c r="B100" s="83">
        <f t="shared" si="82"/>
        <v>0</v>
      </c>
      <c r="C100" s="83">
        <f t="shared" si="82"/>
        <v>0</v>
      </c>
      <c r="D100" s="83">
        <f t="shared" si="82"/>
        <v>0</v>
      </c>
      <c r="E100" s="83">
        <f t="shared" si="82"/>
        <v>0</v>
      </c>
      <c r="F100" s="83">
        <f t="shared" si="82"/>
        <v>0</v>
      </c>
      <c r="G100" s="83">
        <f t="shared" si="82"/>
        <v>0</v>
      </c>
      <c r="H100" s="83">
        <f t="shared" si="82"/>
        <v>0</v>
      </c>
    </row>
    <row r="101" spans="1:8">
      <c r="A101" s="75" t="s">
        <v>45</v>
      </c>
      <c r="B101" s="83">
        <f t="shared" si="82"/>
        <v>0</v>
      </c>
      <c r="C101" s="83">
        <f t="shared" si="82"/>
        <v>0</v>
      </c>
      <c r="D101" s="83">
        <f t="shared" si="82"/>
        <v>0</v>
      </c>
      <c r="E101" s="83">
        <f t="shared" si="82"/>
        <v>0</v>
      </c>
      <c r="F101" s="83">
        <f t="shared" si="82"/>
        <v>0</v>
      </c>
      <c r="G101" s="83">
        <f t="shared" si="82"/>
        <v>0</v>
      </c>
      <c r="H101" s="83">
        <f t="shared" si="82"/>
        <v>0</v>
      </c>
    </row>
    <row r="102" spans="1:8">
      <c r="A102" s="75" t="s">
        <v>12</v>
      </c>
      <c r="B102" s="83">
        <f t="shared" si="82"/>
        <v>0</v>
      </c>
      <c r="C102" s="83">
        <f t="shared" si="82"/>
        <v>0</v>
      </c>
      <c r="D102" s="83">
        <f t="shared" si="82"/>
        <v>0</v>
      </c>
      <c r="E102" s="83">
        <f t="shared" si="82"/>
        <v>0</v>
      </c>
      <c r="F102" s="83">
        <f t="shared" si="82"/>
        <v>0</v>
      </c>
      <c r="G102" s="83">
        <f t="shared" si="82"/>
        <v>0</v>
      </c>
      <c r="H102" s="83">
        <f t="shared" si="82"/>
        <v>0</v>
      </c>
    </row>
    <row r="103" spans="1:8">
      <c r="A103" s="75" t="s">
        <v>25</v>
      </c>
      <c r="B103" s="83">
        <f t="shared" si="82"/>
        <v>0</v>
      </c>
      <c r="C103" s="83">
        <f t="shared" si="82"/>
        <v>0</v>
      </c>
      <c r="D103" s="83">
        <f t="shared" si="82"/>
        <v>0</v>
      </c>
      <c r="E103" s="83">
        <f t="shared" si="82"/>
        <v>0</v>
      </c>
      <c r="F103" s="83">
        <f t="shared" si="82"/>
        <v>0</v>
      </c>
      <c r="G103" s="83">
        <f t="shared" si="82"/>
        <v>0</v>
      </c>
      <c r="H103" s="83">
        <f t="shared" si="82"/>
        <v>0</v>
      </c>
    </row>
    <row r="104" spans="1:8">
      <c r="A104" s="75" t="s">
        <v>46</v>
      </c>
      <c r="B104" s="83">
        <f t="shared" si="82"/>
        <v>0</v>
      </c>
      <c r="C104" s="83">
        <f t="shared" si="82"/>
        <v>0</v>
      </c>
      <c r="D104" s="83">
        <f t="shared" si="82"/>
        <v>0</v>
      </c>
      <c r="E104" s="83">
        <f t="shared" si="82"/>
        <v>0</v>
      </c>
      <c r="F104" s="83">
        <f t="shared" si="82"/>
        <v>0</v>
      </c>
      <c r="G104" s="83">
        <f t="shared" si="82"/>
        <v>0</v>
      </c>
      <c r="H104" s="83">
        <f t="shared" si="82"/>
        <v>0</v>
      </c>
    </row>
    <row r="105" spans="1:8">
      <c r="A105" s="75" t="s">
        <v>12</v>
      </c>
      <c r="B105" s="83">
        <f t="shared" si="82"/>
        <v>0</v>
      </c>
      <c r="C105" s="83">
        <f t="shared" si="82"/>
        <v>0</v>
      </c>
      <c r="D105" s="83">
        <f t="shared" si="82"/>
        <v>0</v>
      </c>
      <c r="E105" s="83">
        <f t="shared" si="82"/>
        <v>0</v>
      </c>
      <c r="F105" s="83">
        <f t="shared" si="82"/>
        <v>0</v>
      </c>
      <c r="G105" s="83">
        <f t="shared" si="82"/>
        <v>0</v>
      </c>
      <c r="H105" s="83">
        <f t="shared" si="82"/>
        <v>0</v>
      </c>
    </row>
    <row r="106" spans="1:8">
      <c r="A106" s="75" t="s">
        <v>27</v>
      </c>
      <c r="B106" s="83">
        <f t="shared" si="82"/>
        <v>0</v>
      </c>
      <c r="C106" s="83">
        <f t="shared" si="82"/>
        <v>0</v>
      </c>
      <c r="D106" s="83">
        <f t="shared" si="82"/>
        <v>0</v>
      </c>
      <c r="E106" s="83">
        <f t="shared" si="82"/>
        <v>0</v>
      </c>
      <c r="F106" s="83">
        <f t="shared" si="82"/>
        <v>0</v>
      </c>
      <c r="G106" s="83">
        <f t="shared" si="82"/>
        <v>0</v>
      </c>
      <c r="H106" s="83">
        <f t="shared" si="82"/>
        <v>0</v>
      </c>
    </row>
    <row r="107" spans="1:8">
      <c r="A107" s="75" t="s">
        <v>47</v>
      </c>
      <c r="B107" s="83">
        <f t="shared" si="82"/>
        <v>0</v>
      </c>
      <c r="C107" s="83">
        <f t="shared" si="82"/>
        <v>0</v>
      </c>
      <c r="D107" s="83">
        <f t="shared" si="82"/>
        <v>0</v>
      </c>
      <c r="E107" s="83">
        <f t="shared" si="82"/>
        <v>0</v>
      </c>
      <c r="F107" s="83">
        <f t="shared" si="82"/>
        <v>0</v>
      </c>
      <c r="G107" s="83">
        <f t="shared" si="82"/>
        <v>0</v>
      </c>
      <c r="H107" s="83">
        <f t="shared" si="82"/>
        <v>0</v>
      </c>
    </row>
    <row r="108" spans="1:8">
      <c r="A108" s="75" t="s">
        <v>12</v>
      </c>
      <c r="B108" s="83">
        <f t="shared" si="82"/>
        <v>0</v>
      </c>
      <c r="C108" s="83">
        <f t="shared" si="82"/>
        <v>0</v>
      </c>
      <c r="D108" s="83">
        <f t="shared" si="82"/>
        <v>0</v>
      </c>
      <c r="E108" s="83">
        <f t="shared" si="82"/>
        <v>0</v>
      </c>
      <c r="F108" s="83">
        <f t="shared" si="82"/>
        <v>0</v>
      </c>
      <c r="G108" s="83" t="e">
        <f t="shared" si="82"/>
        <v>#DIV/0!</v>
      </c>
      <c r="H108" s="83">
        <f t="shared" si="82"/>
        <v>0</v>
      </c>
    </row>
    <row r="109" spans="1:8">
      <c r="A109" s="75" t="s">
        <v>29</v>
      </c>
      <c r="B109" s="83">
        <f t="shared" si="82"/>
        <v>0</v>
      </c>
      <c r="C109" s="83">
        <f t="shared" si="82"/>
        <v>0</v>
      </c>
      <c r="D109" s="83">
        <f t="shared" si="82"/>
        <v>0</v>
      </c>
      <c r="E109" s="83">
        <f t="shared" si="82"/>
        <v>0</v>
      </c>
      <c r="F109" s="83">
        <f t="shared" si="82"/>
        <v>0</v>
      </c>
      <c r="G109" s="83">
        <f t="shared" si="82"/>
        <v>0</v>
      </c>
      <c r="H109" s="83">
        <f t="shared" si="82"/>
        <v>0</v>
      </c>
    </row>
    <row r="110" spans="1:8">
      <c r="A110" s="75" t="s">
        <v>48</v>
      </c>
      <c r="B110" s="83">
        <f t="shared" si="82"/>
        <v>0</v>
      </c>
      <c r="C110" s="83">
        <f t="shared" si="82"/>
        <v>0</v>
      </c>
      <c r="D110" s="83">
        <f t="shared" si="82"/>
        <v>0</v>
      </c>
      <c r="E110" s="83">
        <f t="shared" si="82"/>
        <v>0</v>
      </c>
      <c r="F110" s="83">
        <f t="shared" si="82"/>
        <v>0</v>
      </c>
      <c r="G110" s="83">
        <f t="shared" si="82"/>
        <v>0</v>
      </c>
      <c r="H110" s="83">
        <f t="shared" si="82"/>
        <v>0</v>
      </c>
    </row>
    <row r="111" spans="1:8">
      <c r="A111" s="75" t="s">
        <v>12</v>
      </c>
      <c r="B111" s="83">
        <f t="shared" si="82"/>
        <v>0</v>
      </c>
      <c r="C111" s="83">
        <f t="shared" si="82"/>
        <v>0</v>
      </c>
      <c r="D111" s="83">
        <f t="shared" si="82"/>
        <v>0</v>
      </c>
      <c r="E111" s="83">
        <f t="shared" si="82"/>
        <v>0</v>
      </c>
      <c r="F111" s="83">
        <f t="shared" si="82"/>
        <v>0</v>
      </c>
      <c r="G111" s="83">
        <f t="shared" si="82"/>
        <v>0</v>
      </c>
      <c r="H111" s="83">
        <f t="shared" si="82"/>
        <v>0</v>
      </c>
    </row>
    <row r="112" spans="1:8">
      <c r="A112" s="75" t="s">
        <v>31</v>
      </c>
      <c r="B112" s="83">
        <f t="shared" si="82"/>
        <v>0</v>
      </c>
      <c r="C112" s="83">
        <f t="shared" si="82"/>
        <v>0</v>
      </c>
      <c r="D112" s="83">
        <f t="shared" si="82"/>
        <v>0</v>
      </c>
      <c r="E112" s="83">
        <f t="shared" si="82"/>
        <v>0</v>
      </c>
      <c r="F112" s="83">
        <f t="shared" si="82"/>
        <v>0</v>
      </c>
      <c r="G112" s="83">
        <f t="shared" si="82"/>
        <v>0</v>
      </c>
      <c r="H112" s="83">
        <f t="shared" si="82"/>
        <v>0</v>
      </c>
    </row>
    <row r="113" spans="1:8">
      <c r="A113" s="75" t="s">
        <v>52</v>
      </c>
      <c r="B113" s="83">
        <f t="shared" si="82"/>
        <v>0</v>
      </c>
      <c r="C113" s="83">
        <f t="shared" si="82"/>
        <v>0</v>
      </c>
      <c r="D113" s="83">
        <f t="shared" si="82"/>
        <v>0</v>
      </c>
      <c r="E113" s="83">
        <f t="shared" si="82"/>
        <v>0</v>
      </c>
      <c r="F113" s="83">
        <f t="shared" si="82"/>
        <v>0</v>
      </c>
      <c r="G113" s="83">
        <f t="shared" si="82"/>
        <v>0</v>
      </c>
      <c r="H113" s="83">
        <f t="shared" si="82"/>
        <v>0</v>
      </c>
    </row>
    <row r="114" spans="1:8">
      <c r="A114" s="75" t="s">
        <v>12</v>
      </c>
      <c r="B114" s="83">
        <f t="shared" si="82"/>
        <v>0</v>
      </c>
      <c r="C114" s="83">
        <f t="shared" si="82"/>
        <v>0</v>
      </c>
      <c r="D114" s="83">
        <f t="shared" si="82"/>
        <v>0</v>
      </c>
      <c r="E114" s="83">
        <f t="shared" si="82"/>
        <v>0</v>
      </c>
      <c r="F114" s="83">
        <f t="shared" si="82"/>
        <v>0</v>
      </c>
      <c r="G114" s="83">
        <f t="shared" si="82"/>
        <v>0</v>
      </c>
      <c r="H114" s="83">
        <f t="shared" si="82"/>
        <v>0</v>
      </c>
    </row>
  </sheetData>
  <mergeCells count="17">
    <mergeCell ref="A4:H4"/>
    <mergeCell ref="A8:H8"/>
    <mergeCell ref="J8:Q8"/>
    <mergeCell ref="R8:Y8"/>
    <mergeCell ref="AA8:AH8"/>
    <mergeCell ref="G5:H5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7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18</vt:i4>
      </vt:variant>
      <vt:variant>
        <vt:lpstr>Наименувани диапазони</vt:lpstr>
      </vt:variant>
      <vt:variant>
        <vt:i4>3</vt:i4>
      </vt:variant>
    </vt:vector>
  </HeadingPairs>
  <TitlesOfParts>
    <vt:vector size="21" baseType="lpstr">
      <vt:lpstr>SCDP</vt:lpstr>
      <vt:lpstr>Bolqrka</vt:lpstr>
      <vt:lpstr>Bujnovci</vt:lpstr>
      <vt:lpstr>Gabrovo</vt:lpstr>
      <vt:lpstr>Gorna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SCDP!aw</vt:lpstr>
      <vt:lpstr>SCDP!Област_печат</vt:lpstr>
      <vt:lpstr>Voden!Област_печат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Н. Неделчев</cp:lastModifiedBy>
  <cp:lastPrinted>2023-11-13T14:03:12Z</cp:lastPrinted>
  <dcterms:created xsi:type="dcterms:W3CDTF">2007-10-01T07:59:34Z</dcterms:created>
  <dcterms:modified xsi:type="dcterms:W3CDTF">2023-11-13T14:55:57Z</dcterms:modified>
</cp:coreProperties>
</file>